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60" windowHeight="8850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Gifts!$A$1:$E$17</definedName>
    <definedName name="_xlnm.Print_Area" localSheetId="1">Hospitality!$A$1:$E$28</definedName>
    <definedName name="_xlnm.Print_Area" localSheetId="2">Other!$A$1:$E$22</definedName>
    <definedName name="_xlnm.Print_Area" localSheetId="0">Travel!$A$1:$E$254</definedName>
  </definedNames>
  <calcPr calcId="145621"/>
</workbook>
</file>

<file path=xl/calcChain.xml><?xml version="1.0" encoding="utf-8"?>
<calcChain xmlns="http://schemas.openxmlformats.org/spreadsheetml/2006/main">
  <c r="B41" i="1" l="1"/>
  <c r="B69" i="1"/>
  <c r="B82" i="1"/>
  <c r="B92" i="1"/>
  <c r="B103" i="1"/>
  <c r="B109" i="1"/>
  <c r="B118" i="1"/>
  <c r="B143" i="1"/>
  <c r="B171" i="1"/>
  <c r="B176" i="1"/>
  <c r="B168" i="1"/>
  <c r="B233" i="1"/>
  <c r="B230" i="1"/>
  <c r="B227" i="1"/>
  <c r="B203" i="1"/>
  <c r="B202" i="1"/>
  <c r="B192" i="1"/>
  <c r="B194" i="1"/>
  <c r="B222" i="1"/>
  <c r="B215" i="1"/>
  <c r="B214" i="1"/>
  <c r="B201" i="1"/>
  <c r="B183" i="1"/>
  <c r="B165" i="1"/>
  <c r="B153" i="1"/>
  <c r="B249" i="1"/>
  <c r="B248" i="1"/>
  <c r="B247" i="1"/>
  <c r="B234" i="1"/>
  <c r="B246" i="1"/>
  <c r="B243" i="1"/>
  <c r="B244" i="1"/>
  <c r="B238" i="1"/>
  <c r="B236" i="1"/>
  <c r="B242" i="1"/>
  <c r="B241" i="1"/>
  <c r="B239" i="1"/>
  <c r="B245" i="1"/>
  <c r="B240" i="1"/>
  <c r="B228" i="1"/>
  <c r="B232" i="1"/>
  <c r="B223" i="1"/>
  <c r="B237" i="1"/>
  <c r="B231" i="1"/>
  <c r="B229" i="1"/>
  <c r="B226" i="1"/>
  <c r="B219" i="1"/>
  <c r="B224" i="1"/>
  <c r="B206" i="1"/>
  <c r="B193" i="1"/>
  <c r="B211" i="1"/>
  <c r="B21" i="2"/>
  <c r="B17" i="3"/>
  <c r="B235" i="1"/>
  <c r="B225" i="1"/>
  <c r="B221" i="1"/>
  <c r="B220" i="1"/>
  <c r="B217" i="1"/>
  <c r="B200" i="1"/>
  <c r="B210" i="1"/>
  <c r="B208" i="1"/>
  <c r="B205" i="1"/>
  <c r="B207" i="1"/>
  <c r="B195" i="1"/>
  <c r="B216" i="1"/>
  <c r="B213" i="1"/>
  <c r="B212" i="1"/>
  <c r="B209" i="1"/>
  <c r="B6" i="2"/>
  <c r="B8" i="2"/>
  <c r="B15" i="2"/>
  <c r="B11" i="3"/>
  <c r="B97" i="1"/>
  <c r="B20" i="2"/>
  <c r="B182" i="1"/>
  <c r="B181" i="1"/>
  <c r="B179" i="1"/>
  <c r="B198" i="1"/>
  <c r="B196" i="1"/>
  <c r="B191" i="1"/>
  <c r="B197" i="1"/>
  <c r="B204" i="1"/>
  <c r="B199" i="1"/>
  <c r="B187" i="1"/>
  <c r="B190" i="1"/>
  <c r="B184" i="1"/>
  <c r="B189" i="1"/>
  <c r="B178" i="1"/>
  <c r="B177" i="1"/>
  <c r="B185" i="1"/>
  <c r="B163" i="1"/>
  <c r="B160" i="1"/>
  <c r="B180" i="1"/>
  <c r="B174" i="1"/>
  <c r="B16" i="3"/>
  <c r="B173" i="1"/>
  <c r="B170" i="1"/>
  <c r="B169" i="1"/>
  <c r="B164" i="1"/>
  <c r="B155" i="1"/>
  <c r="B154" i="1"/>
  <c r="B152" i="1"/>
  <c r="B159" i="1"/>
  <c r="B158" i="1"/>
  <c r="B166" i="1"/>
  <c r="B175" i="1"/>
  <c r="B172" i="1"/>
  <c r="B167" i="1"/>
  <c r="B161" i="1"/>
  <c r="B162" i="1"/>
  <c r="B186" i="1"/>
  <c r="B157" i="1"/>
  <c r="B156" i="1"/>
  <c r="B150" i="1"/>
  <c r="B149" i="1"/>
  <c r="B145" i="1"/>
  <c r="B142" i="1"/>
  <c r="B141" i="1"/>
  <c r="B140" i="1"/>
  <c r="B139" i="1"/>
  <c r="B137" i="1"/>
  <c r="B138" i="1"/>
  <c r="B136" i="1"/>
  <c r="B135" i="1"/>
  <c r="B134" i="1"/>
  <c r="B146" i="1"/>
  <c r="B148" i="1"/>
  <c r="B147" i="1"/>
  <c r="B151" i="1"/>
  <c r="B18" i="1"/>
  <c r="B144" i="1"/>
  <c r="B133" i="1"/>
  <c r="B110" i="1"/>
  <c r="B132" i="1"/>
  <c r="B126" i="1"/>
  <c r="B122" i="1"/>
  <c r="B113" i="1"/>
  <c r="B124" i="1"/>
  <c r="B107" i="1"/>
  <c r="B131" i="1"/>
  <c r="B128" i="1"/>
  <c r="B130" i="1"/>
  <c r="B129" i="1"/>
  <c r="B127" i="1"/>
  <c r="B108" i="1"/>
  <c r="B123" i="1"/>
  <c r="B98" i="1"/>
  <c r="B125" i="1"/>
  <c r="B121" i="1"/>
  <c r="B120" i="1"/>
  <c r="B119" i="1"/>
  <c r="B117" i="1"/>
  <c r="B116" i="1"/>
  <c r="B115" i="1"/>
  <c r="B114" i="1"/>
  <c r="B112" i="1"/>
  <c r="B111" i="1"/>
  <c r="B16" i="1"/>
  <c r="B105" i="1"/>
  <c r="B70" i="1"/>
  <c r="B56" i="1"/>
  <c r="B14" i="1"/>
  <c r="B49" i="1"/>
  <c r="B34" i="1"/>
  <c r="B104" i="1"/>
  <c r="B60" i="1"/>
  <c r="B106" i="1"/>
  <c r="B91" i="1"/>
  <c r="B88" i="1"/>
  <c r="B95" i="1"/>
  <c r="B93" i="1"/>
  <c r="B87" i="1"/>
  <c r="B99" i="1"/>
  <c r="B94" i="1"/>
  <c r="B100" i="1"/>
  <c r="B96" i="1"/>
  <c r="B86" i="1"/>
  <c r="B102" i="1"/>
  <c r="B17" i="1"/>
  <c r="B101" i="1"/>
  <c r="B77" i="1"/>
  <c r="B71" i="1"/>
  <c r="B73" i="1"/>
  <c r="B76" i="1"/>
  <c r="B79" i="1"/>
  <c r="B90" i="1"/>
  <c r="B89" i="1"/>
  <c r="B63" i="1"/>
  <c r="B64" i="1"/>
  <c r="B59" i="1"/>
  <c r="B53" i="1"/>
  <c r="B57" i="1"/>
  <c r="B55" i="1"/>
  <c r="B40" i="1"/>
  <c r="B58" i="1"/>
  <c r="B48" i="1"/>
  <c r="B50" i="1"/>
  <c r="B33" i="1"/>
  <c r="B35" i="1"/>
  <c r="B44" i="1"/>
  <c r="B32" i="1"/>
  <c r="B39" i="1"/>
  <c r="B38" i="1"/>
  <c r="B46" i="1"/>
  <c r="B45" i="1"/>
  <c r="B27" i="1"/>
  <c r="B30" i="1"/>
  <c r="B37" i="1"/>
  <c r="B29" i="1"/>
  <c r="B28" i="1"/>
  <c r="B72" i="1"/>
  <c r="B65" i="1"/>
  <c r="B81" i="1"/>
  <c r="B84" i="1"/>
  <c r="B54" i="1"/>
  <c r="B51" i="1"/>
  <c r="B47" i="1"/>
  <c r="B13" i="3"/>
  <c r="B85" i="1"/>
  <c r="B80" i="1"/>
  <c r="B78" i="1"/>
  <c r="B43" i="1"/>
  <c r="B62" i="1"/>
  <c r="B75" i="1"/>
  <c r="B67" i="1"/>
  <c r="B36" i="1"/>
  <c r="B42" i="1"/>
  <c r="B31" i="1"/>
  <c r="B83" i="1"/>
  <c r="B74" i="1"/>
  <c r="B68" i="1"/>
  <c r="B66" i="1"/>
  <c r="B61" i="1"/>
  <c r="B52" i="1"/>
  <c r="B26" i="1"/>
  <c r="B251" i="1"/>
  <c r="B21" i="3"/>
  <c r="B23" i="2"/>
  <c r="B20" i="1"/>
  <c r="C2" i="4"/>
  <c r="A2" i="4"/>
  <c r="A1" i="4"/>
  <c r="C2" i="3"/>
  <c r="A2" i="3"/>
  <c r="A1" i="3"/>
  <c r="C2" i="2"/>
  <c r="A2" i="2"/>
  <c r="A1" i="2"/>
  <c r="B26" i="2"/>
  <c r="B254" i="1"/>
</calcChain>
</file>

<file path=xl/sharedStrings.xml><?xml version="1.0" encoding="utf-8"?>
<sst xmlns="http://schemas.openxmlformats.org/spreadsheetml/2006/main" count="1036" uniqueCount="342">
  <si>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</si>
  <si>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</si>
  <si>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</si>
  <si>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</si>
  <si>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</si>
  <si>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</si>
  <si>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</si>
  <si>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</si>
  <si>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</si>
  <si>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</si>
  <si>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</si>
  <si>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</si>
  <si>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</si>
  <si>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</si>
  <si>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</si>
  <si>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</si>
  <si>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</si>
  <si>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</si>
  <si>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</si>
  <si>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</si>
  <si>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</si>
  <si>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</si>
  <si>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</si>
  <si>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</si>
  <si>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</si>
  <si>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</si>
  <si>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Name of organisation - Ministry of Pacific Island Affairs</t>
  </si>
  <si>
    <t>Total</t>
  </si>
  <si>
    <t>Airfare</t>
  </si>
  <si>
    <t>Auckland/Wellington</t>
  </si>
  <si>
    <t>Nil</t>
  </si>
  <si>
    <t>Name of CE: Pauline A Winter</t>
  </si>
  <si>
    <t>Auckland</t>
  </si>
  <si>
    <t>Meal allowance</t>
  </si>
  <si>
    <t>1 - 7.07.2013</t>
  </si>
  <si>
    <t>Taxi</t>
  </si>
  <si>
    <t>Wellington</t>
  </si>
  <si>
    <t>Airport transfer (WN)</t>
  </si>
  <si>
    <t>9.08.2013</t>
  </si>
  <si>
    <t>Subscription renewal - The Economist on iPhone</t>
  </si>
  <si>
    <t xml:space="preserve">Accommodation </t>
  </si>
  <si>
    <t>26.09.2013</t>
  </si>
  <si>
    <t>Rental car</t>
  </si>
  <si>
    <t>12.08.2013</t>
  </si>
  <si>
    <t>19.08.2013</t>
  </si>
  <si>
    <t>Airfare change</t>
  </si>
  <si>
    <t>31.07.2013</t>
  </si>
  <si>
    <t>Working lunch - OCE team</t>
  </si>
  <si>
    <t>Working lunch</t>
  </si>
  <si>
    <t>13.08.2013</t>
  </si>
  <si>
    <t>1 - 3.07.2013</t>
  </si>
  <si>
    <t>9 - 12.08.2013</t>
  </si>
  <si>
    <t>Attending Cook Islands Language Week events</t>
  </si>
  <si>
    <t>4 - 6.09.2013</t>
  </si>
  <si>
    <t>19 - 29.07.2013</t>
  </si>
  <si>
    <t>9 - 11.09.2013</t>
  </si>
  <si>
    <t>11 - 13.09.2013</t>
  </si>
  <si>
    <t>16 - 17.09.2013</t>
  </si>
  <si>
    <t>27 - 30.09.2013</t>
  </si>
  <si>
    <t>12.07.2013</t>
  </si>
  <si>
    <t>Wellington/Auckland</t>
  </si>
  <si>
    <t>15.07.2013</t>
  </si>
  <si>
    <t>Wellington/Auckland return</t>
  </si>
  <si>
    <t>30 - 31.07.2013</t>
  </si>
  <si>
    <t>Wellington/Christchurch return</t>
  </si>
  <si>
    <t>10.09.2013</t>
  </si>
  <si>
    <t>Carparking</t>
  </si>
  <si>
    <t>Attending APO and ATEED meetings</t>
  </si>
  <si>
    <t>17.09.2013</t>
  </si>
  <si>
    <t>Meal &amp; incidentals allowances</t>
  </si>
  <si>
    <t>5.09.2013</t>
  </si>
  <si>
    <t>19 - 26.07.2013</t>
  </si>
  <si>
    <t>22 - 27.09.2013</t>
  </si>
  <si>
    <t>25.09.2013</t>
  </si>
  <si>
    <t>30.09.2013</t>
  </si>
  <si>
    <t>23.09.2013</t>
  </si>
  <si>
    <t>Car charger for iPhone</t>
  </si>
  <si>
    <t>29.07.2013</t>
  </si>
  <si>
    <t xml:space="preserve">Wellington/Auckland </t>
  </si>
  <si>
    <t>15.08.2013</t>
  </si>
  <si>
    <t>13 - 17.09.2013</t>
  </si>
  <si>
    <t>27.09.2013</t>
  </si>
  <si>
    <t>Auckland/Wellington return</t>
  </si>
  <si>
    <t>3.07.2013</t>
  </si>
  <si>
    <t>4.07.2013</t>
  </si>
  <si>
    <t>30.07.2013</t>
  </si>
  <si>
    <t>16.07.2013</t>
  </si>
  <si>
    <t>18.07.2013</t>
  </si>
  <si>
    <t>19.07.2013</t>
  </si>
  <si>
    <t>Airport transfer (AK)</t>
  </si>
  <si>
    <t>13.07.2013</t>
  </si>
  <si>
    <t>4.08.2013</t>
  </si>
  <si>
    <t>16.08.2013</t>
  </si>
  <si>
    <t>4.09.2013</t>
  </si>
  <si>
    <t>9.09.2013</t>
  </si>
  <si>
    <t>13.09.2013</t>
  </si>
  <si>
    <t>4 - 7.10.2013</t>
  </si>
  <si>
    <t>4-8.10.2013</t>
  </si>
  <si>
    <t>24.09.2013</t>
  </si>
  <si>
    <t>16.09.2013</t>
  </si>
  <si>
    <t>22.09.2013</t>
  </si>
  <si>
    <t>11 - 14.10.2013</t>
  </si>
  <si>
    <t>14 - 15.10.2013</t>
  </si>
  <si>
    <t>Filming for Achievers DVD</t>
  </si>
  <si>
    <t>12 - 14.10.2013</t>
  </si>
  <si>
    <t>4.10.2013</t>
  </si>
  <si>
    <t>10.10.2013</t>
  </si>
  <si>
    <t>Christchurch</t>
  </si>
  <si>
    <t>8.10.2013</t>
  </si>
  <si>
    <t>11.10.2013</t>
  </si>
  <si>
    <t>9.10.2013</t>
  </si>
  <si>
    <t>10 - 11.10.2013</t>
  </si>
  <si>
    <t>8 - 11.10.2013</t>
  </si>
  <si>
    <t>23 - 30.10.2013</t>
  </si>
  <si>
    <t>Interview panel for Endeavour Scholarships</t>
  </si>
  <si>
    <t>9 - 16.09.2013</t>
  </si>
  <si>
    <t>Awakeri</t>
  </si>
  <si>
    <t>Return to Wellington office - flights cancelled due to weather.</t>
  </si>
  <si>
    <t>15.10.2013</t>
  </si>
  <si>
    <t>10.11.2013</t>
  </si>
  <si>
    <t>12.11.2013</t>
  </si>
  <si>
    <t>13.11.2013</t>
  </si>
  <si>
    <t>15.11.2013</t>
  </si>
  <si>
    <t>19.11.2013</t>
  </si>
  <si>
    <t>15 - 18.11.2013</t>
  </si>
  <si>
    <t>6 - 8.11.2013</t>
  </si>
  <si>
    <t>25.11.2013</t>
  </si>
  <si>
    <t>26.11.2013</t>
  </si>
  <si>
    <t>28.11.2013</t>
  </si>
  <si>
    <t>29.11.2013</t>
  </si>
  <si>
    <t>29.11 - 2.12.2013</t>
  </si>
  <si>
    <t>18.11.2013</t>
  </si>
  <si>
    <t xml:space="preserve">Auckland/Wellington </t>
  </si>
  <si>
    <t>12 - 13.11.2013</t>
  </si>
  <si>
    <t>12 - 13.12.2013</t>
  </si>
  <si>
    <t>24.11.2013</t>
  </si>
  <si>
    <t>13.12.2013</t>
  </si>
  <si>
    <t>11.12.2013</t>
  </si>
  <si>
    <t>Coffee for MPIA team at Select Committee</t>
  </si>
  <si>
    <t>18.12.2013</t>
  </si>
  <si>
    <t>19.12.2013</t>
  </si>
  <si>
    <t>5.12.2013</t>
  </si>
  <si>
    <t>12.12.2013</t>
  </si>
  <si>
    <t>4.12.2013</t>
  </si>
  <si>
    <t>2.12.2013</t>
  </si>
  <si>
    <t>17.12.2013</t>
  </si>
  <si>
    <t>Accommodation</t>
  </si>
  <si>
    <t>New Plymouth</t>
  </si>
  <si>
    <t>Wellington/New Plymouth return</t>
  </si>
  <si>
    <t>Attending Pacific Grant Fund Post Conference Workshop event</t>
  </si>
  <si>
    <t>Attending Police Development meeting</t>
  </si>
  <si>
    <t>Post Massey University graduation speech</t>
  </si>
  <si>
    <t>20.12.2013</t>
  </si>
  <si>
    <t>15.01.2014</t>
  </si>
  <si>
    <t>2.02 - 4.02.2014</t>
  </si>
  <si>
    <t>Meal and incidentals allowance</t>
  </si>
  <si>
    <t>27 - 28.02.2014</t>
  </si>
  <si>
    <t>16.01.2014</t>
  </si>
  <si>
    <t>23.01.2014</t>
  </si>
  <si>
    <t>3.02.2014</t>
  </si>
  <si>
    <t>2.02.2014</t>
  </si>
  <si>
    <t>24.01.2014</t>
  </si>
  <si>
    <t>4.02.2014</t>
  </si>
  <si>
    <t>14.01.2014</t>
  </si>
  <si>
    <t>21.03.2014</t>
  </si>
  <si>
    <t>Pacific Annual Attachment programme (Stats NZ/MFAT)</t>
  </si>
  <si>
    <t>Lunch</t>
  </si>
  <si>
    <t>27.02.2014</t>
  </si>
  <si>
    <t>10.02.2014</t>
  </si>
  <si>
    <t>1.04.2014</t>
  </si>
  <si>
    <t>21 - 22.02.2014</t>
  </si>
  <si>
    <t>3.03.2014</t>
  </si>
  <si>
    <t>19.02.2014</t>
  </si>
  <si>
    <t>20.02.2014</t>
  </si>
  <si>
    <t>28.02.2014</t>
  </si>
  <si>
    <t>22.02.2014</t>
  </si>
  <si>
    <t>7.03.2014</t>
  </si>
  <si>
    <t>10.03.2014</t>
  </si>
  <si>
    <t>13.03.2014</t>
  </si>
  <si>
    <t>6.03.2014</t>
  </si>
  <si>
    <t>5.03.2014</t>
  </si>
  <si>
    <t>21.02.2014</t>
  </si>
  <si>
    <t>4.04.2014</t>
  </si>
  <si>
    <t>Lunch: Kiribati Minister and Officials visit</t>
  </si>
  <si>
    <t>8.07.2013</t>
  </si>
  <si>
    <t>Dictaphone app</t>
  </si>
  <si>
    <t>5.07.2013</t>
  </si>
  <si>
    <t>Hosting Pacific Senior Officials meeting</t>
  </si>
  <si>
    <t>22.03.2014</t>
  </si>
  <si>
    <t>24.03.2014</t>
  </si>
  <si>
    <t>18.03.2014</t>
  </si>
  <si>
    <t>7 - 11.03.2014</t>
  </si>
  <si>
    <t>17.03.2014</t>
  </si>
  <si>
    <t>Tauranga/Auckland/Wellington</t>
  </si>
  <si>
    <t>21 - 23.03.2014</t>
  </si>
  <si>
    <t>13.04.2014</t>
  </si>
  <si>
    <t>9.04.2014</t>
  </si>
  <si>
    <t>11.04.2014</t>
  </si>
  <si>
    <t>8.04.2014</t>
  </si>
  <si>
    <t>11.03.2014</t>
  </si>
  <si>
    <t>28.04.2014</t>
  </si>
  <si>
    <t>8.05.2014</t>
  </si>
  <si>
    <t>2.05.2014</t>
  </si>
  <si>
    <t>11.05.2014</t>
  </si>
  <si>
    <t>4.05.2014</t>
  </si>
  <si>
    <t>5 - 6.03.2014</t>
  </si>
  <si>
    <t>State Services Commission - CE Away Days</t>
  </si>
  <si>
    <t>15.04.2014</t>
  </si>
  <si>
    <t>Coffee: CE and PWC</t>
  </si>
  <si>
    <t>2 - 4.05.2014</t>
  </si>
  <si>
    <t>8 - 11.05.2014</t>
  </si>
  <si>
    <t>23 - 27.05.2014</t>
  </si>
  <si>
    <t>25.06.2014</t>
  </si>
  <si>
    <t>23.05.2014</t>
  </si>
  <si>
    <t>19.05.2014</t>
  </si>
  <si>
    <t>26.05.2014</t>
  </si>
  <si>
    <t>6.06.2014</t>
  </si>
  <si>
    <t>4.06.2014</t>
  </si>
  <si>
    <t>30.06.2014</t>
  </si>
  <si>
    <t>17 - 18.12.2013</t>
  </si>
  <si>
    <t>23.03.2014</t>
  </si>
  <si>
    <t xml:space="preserve">30.06.2014 </t>
  </si>
  <si>
    <t>Attending NZ Police Commissioned Women's forum</t>
  </si>
  <si>
    <t>Returning to Office after meeting with Minister in Auckland</t>
  </si>
  <si>
    <t>Meetings in Auckland re Tonga</t>
  </si>
  <si>
    <t>Attending Vodafone Pacific Music Awards</t>
  </si>
  <si>
    <t>Attending Polyfest function 14 March and PEC launch 17 March 2014</t>
  </si>
  <si>
    <t>Attending Sir Peter Blake Leadership Week at AUT (Shadow a Leader)</t>
  </si>
  <si>
    <t xml:space="preserve">Attending MSD and MFAT meetings in Auckland </t>
  </si>
  <si>
    <t>14 - 16.01.2014</t>
  </si>
  <si>
    <t>Travel to Taranaki for Community meeting (Vaimoana Trust)</t>
  </si>
  <si>
    <t xml:space="preserve">Attending meetings in Auckland </t>
  </si>
  <si>
    <t xml:space="preserve">Attending ATEED and Committee for Auckland meetings </t>
  </si>
  <si>
    <t>6.11.2013</t>
  </si>
  <si>
    <t>Working in Auckland - flights cancelled due to weather</t>
  </si>
  <si>
    <t xml:space="preserve">Attending Fijian Language Week events </t>
  </si>
  <si>
    <t xml:space="preserve">Return to Wellington  </t>
  </si>
  <si>
    <t>Attending Pacific Business Trust meeting etc</t>
  </si>
  <si>
    <t>11 - 12.09.2013</t>
  </si>
  <si>
    <t>Auckland and Whakatane</t>
  </si>
  <si>
    <t xml:space="preserve">Airport transfer (WN) </t>
  </si>
  <si>
    <t xml:space="preserve">Airport transfer (CH) </t>
  </si>
  <si>
    <t xml:space="preserve">Airport transfer (WN)  </t>
  </si>
  <si>
    <t xml:space="preserve">Airport transfer (AK)  </t>
  </si>
  <si>
    <t xml:space="preserve">Attending Transperancy International AGM  </t>
  </si>
  <si>
    <t xml:space="preserve">Airport transfer (AK) </t>
  </si>
  <si>
    <t xml:space="preserve">City to Airport (New Plymouth) after ACE Aotearoa Hui Fono </t>
  </si>
  <si>
    <t xml:space="preserve">Attending Women in the Public Sector network meeting </t>
  </si>
  <si>
    <t xml:space="preserve">Attending Sir Paul Jenkins discussion at Customs </t>
  </si>
  <si>
    <t>Working from Auckland Office</t>
  </si>
  <si>
    <t xml:space="preserve">Attending Leadership Development workshop </t>
  </si>
  <si>
    <t>Attending meeting in Wellington</t>
  </si>
  <si>
    <t>Attending Pacific Business Trust meeting and luncheon</t>
  </si>
  <si>
    <t xml:space="preserve">Attending Police Development Board meeting </t>
  </si>
  <si>
    <t xml:space="preserve">Attending "Auckland as a city of migration" function and MIT Pasifika Centre </t>
  </si>
  <si>
    <t>Attending Statistics breakfast</t>
  </si>
  <si>
    <t>Attending meetings in Wellington</t>
  </si>
  <si>
    <t>Airport Transfer (WN)</t>
  </si>
  <si>
    <t xml:space="preserve">Attending meeting at Auckland University </t>
  </si>
  <si>
    <t xml:space="preserve">Attending PASIFIKA Inc Annual Conference </t>
  </si>
  <si>
    <t xml:space="preserve">Attending AUT Manukau Campus to support Minister speaking at Open Day </t>
  </si>
  <si>
    <t>Attending Whanau Ora meeting</t>
  </si>
  <si>
    <t>Attending meeting with Social Services and Justice Chief Executives</t>
  </si>
  <si>
    <t xml:space="preserve">Attending meeting with MoE </t>
  </si>
  <si>
    <t>Attending MoE Interagency meeting</t>
  </si>
  <si>
    <t xml:space="preserve">Attending Education Fair </t>
  </si>
  <si>
    <t xml:space="preserve">Attending SSC Development Boards meeting  </t>
  </si>
  <si>
    <t xml:space="preserve">Attending PM excellence awards education </t>
  </si>
  <si>
    <t>Membership Human Resources Institute of New Zealand Incorporated</t>
  </si>
  <si>
    <t>Period [01/07/2013 - 30/06/2014]</t>
  </si>
  <si>
    <t>Total travel expenses 
for the period</t>
  </si>
  <si>
    <t>Total hospitality expenses for the period</t>
  </si>
  <si>
    <t>Total other expenses for the period</t>
  </si>
  <si>
    <t>Wellington/Auckland/
Tauranga/Auckland/
Wellington</t>
  </si>
  <si>
    <t xml:space="preserve">Attending Whanau Ora launch </t>
  </si>
  <si>
    <t>Airport transfer (WN)  - flight cancelled</t>
  </si>
  <si>
    <t xml:space="preserve">Attending Cook Islands Language Week (Constitution Day) </t>
  </si>
  <si>
    <t>Roadshow -  Waikato/Auckland visits (5 days)</t>
  </si>
  <si>
    <t xml:space="preserve">Meeting with Minister and working in Auckland Office </t>
  </si>
  <si>
    <t xml:space="preserve">Attending Minister's meeting </t>
  </si>
  <si>
    <t>Working at Auckland Office</t>
  </si>
  <si>
    <t>Partiticipating in  MoE interview panel</t>
  </si>
  <si>
    <t>Hosting OCE and MPIA staff</t>
  </si>
  <si>
    <t>Refuel rental car - Cook Islands Language Week events</t>
  </si>
  <si>
    <t xml:space="preserve">Refuel rental car - Waikato/Auckland roadshow  </t>
  </si>
  <si>
    <t xml:space="preserve">Waikato/Auckland roadshow </t>
  </si>
  <si>
    <t>Refuel rental car - Auckland conference and meetings</t>
  </si>
  <si>
    <t>Working from Auckland Office / attending various meetings</t>
  </si>
  <si>
    <t>CDB meetings</t>
  </si>
  <si>
    <t>Keynote speaker at Pacifica annual event</t>
  </si>
  <si>
    <t xml:space="preserve">Meeting at Auckland University - Pacific Inc </t>
  </si>
  <si>
    <t xml:space="preserve">From meeting at Auckland University - Pacific Inc </t>
  </si>
  <si>
    <t xml:space="preserve">Return to Wellington office  </t>
  </si>
  <si>
    <t>Filming for SSC at Otara markets. Following Wellington earthquake remained in Auckland</t>
  </si>
  <si>
    <t>Guest presenter at CPIT PTT Information Evening - cancelled, airport closure</t>
  </si>
  <si>
    <t>Airport transfer (WN) for Christchurch trip - flight cancelled, airport closure</t>
  </si>
  <si>
    <t>Attending Tongan Language Week events and Pacific Business Trust dinner</t>
  </si>
  <si>
    <t>Returning after day with Minister (AK)</t>
  </si>
  <si>
    <t>Attending various meetings in Auckland: Public Sector Leaders, Special Meeting with Minister of State Services, Supporters Council Meeting, Young Enterprise, Maori Womens Welfare League (Whakatane)</t>
  </si>
  <si>
    <t>Attending various meetings in Auckland: Public Sector Leaders, Special Meeting with Minister of State Services, Supporters Council Meeting, Young Enterprise</t>
  </si>
  <si>
    <t>Attending Maori Womens Welfare League conference</t>
  </si>
  <si>
    <t>Picking up rental car</t>
  </si>
  <si>
    <t xml:space="preserve">Attending function at "The Cloud" </t>
  </si>
  <si>
    <t>Attending various meetings in Auckland</t>
  </si>
  <si>
    <t xml:space="preserve">Waikato - Wellington - Auckland: Attending Tuvalu event in Auckland  </t>
  </si>
  <si>
    <t>Attending Tuvalu Community ATPL function</t>
  </si>
  <si>
    <t>Attending Tuvalu &amp; Fijian Language Week events</t>
  </si>
  <si>
    <t xml:space="preserve">Wellington - Auckland - Fijian Language Week events  </t>
  </si>
  <si>
    <t>Attending Fiji Language Week Speech Competition</t>
  </si>
  <si>
    <t>Attending various Auckland: PIMA annual meeting, Auckland Policy Office meeting &amp; Powerup</t>
  </si>
  <si>
    <t>Return to Wellington office (Note: replacement for 8.11.2013 flight cancelled due to fog)</t>
  </si>
  <si>
    <t xml:space="preserve">Meeting with Museum of Auckland; attending Future Auckland leaders dinner and graduation </t>
  </si>
  <si>
    <t>Attending ATEED and Committee for Auckland meetings</t>
  </si>
  <si>
    <t xml:space="preserve">Committee for Auckland Leaders Graduation </t>
  </si>
  <si>
    <t>Attending NZ Women's Watch Annual Half day conference</t>
  </si>
  <si>
    <t xml:space="preserve">Returning to Wellington office </t>
  </si>
  <si>
    <t>Returning to Wellington office (Sports Awards)</t>
  </si>
  <si>
    <t>Attending Women's Suffrage celebrations at Governor General's Residence</t>
  </si>
  <si>
    <t>Speech at Massey University Graduation in Palmerston North - to Auckland and return to Wellington</t>
  </si>
  <si>
    <t>Wellington/Palmerston North/Auckland-Wellington</t>
  </si>
  <si>
    <t>Return from attending NZ Police Commissioned Women's forum</t>
  </si>
  <si>
    <t xml:space="preserve">Auckland - Presenting at Pacific Healthcare Awards and Pacific Home Care support workers graduation </t>
  </si>
  <si>
    <t>Attending meeting with MSD</t>
  </si>
  <si>
    <t>Returning from Auckland University meeting</t>
  </si>
  <si>
    <t xml:space="preserve">Auckland Airport to City </t>
  </si>
  <si>
    <t>Speaking at ACE Aotearoa Hui/Fonoi</t>
  </si>
  <si>
    <t>Airport to City (New Plymouth)</t>
  </si>
  <si>
    <t>Attending meeting with NZ Customs, traveled on to Auckland office</t>
  </si>
  <si>
    <t>Returning to Wellington office (NZ Customs for International Women's Day)</t>
  </si>
  <si>
    <t>Attending Wellington meetings</t>
  </si>
  <si>
    <t>Attending MBIE Taskforce meeting</t>
  </si>
  <si>
    <t>Attending PASIFIKA Festival and visiting AUT</t>
  </si>
  <si>
    <t>Attending Auckland meetings</t>
  </si>
  <si>
    <t>Attending Education Fair</t>
  </si>
  <si>
    <t>Attending MoE meeting</t>
  </si>
  <si>
    <t>Attending Defence Force Parliament event</t>
  </si>
  <si>
    <t>AUT and Community providers meetings</t>
  </si>
  <si>
    <t>Attending Ministry of Justice workshop</t>
  </si>
  <si>
    <t>Attending Minister's meeting and meetings over the weekend</t>
  </si>
  <si>
    <t>Attending NZ Police meetings</t>
  </si>
  <si>
    <t xml:space="preserve">Attending Ministers fono in Avondale  </t>
  </si>
  <si>
    <t>Drinks for remaining Wellington staff at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</si>
</sst>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3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3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1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4" borderId="2" xfId="0" applyNumberFormat="1" applyFont="1" applyFill="1" applyBorder="1" applyAlignment="1"/>
    <xf numFmtId="43" fontId="1" fillId="0" borderId="1" xfId="0" applyNumberFormat="1" applyFont="1" applyBorder="1" applyAlignment="1">
      <alignment wrapText="1"/>
    </xf>
    <xf numFmtId="14" fontId="2" fillId="2" borderId="2" xfId="0" applyNumberFormat="1" applyFont="1" applyFill="1" applyBorder="1" applyAlignment="1">
      <alignment wrapText="1"/>
    </xf>
    <xf numFmtId="14" fontId="3" fillId="4" borderId="2" xfId="0" applyNumberFormat="1" applyFont="1" applyFill="1" applyBorder="1" applyAlignment="1">
      <alignment horizontal="justify" wrapText="1"/>
    </xf>
    <xf numFmtId="14" fontId="1" fillId="0" borderId="2" xfId="0" applyNumberFormat="1" applyFont="1" applyBorder="1" applyAlignment="1">
      <alignment horizontal="left" wrapText="1"/>
    </xf>
    <xf numFmtId="43" fontId="1" fillId="0" borderId="2" xfId="0" applyNumberFormat="1" applyFont="1" applyBorder="1" applyAlignment="1">
      <alignment horizontal="right" wrapText="1"/>
    </xf>
    <xf numFmtId="14" fontId="0" fillId="0" borderId="0" xfId="0" applyNumberFormat="1" applyAlignment="1">
      <alignment horizontal="left" vertical="top" wrapText="1"/>
    </xf>
    <xf numFmtId="43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14" fontId="1" fillId="0" borderId="2" xfId="0" applyNumberFormat="1" applyFont="1" applyBorder="1" applyAlignment="1">
      <alignment horizontal="left" vertical="top" wrapText="1"/>
    </xf>
    <xf numFmtId="43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43" fontId="1" fillId="0" borderId="2" xfId="0" applyNumberFormat="1" applyFont="1" applyBorder="1" applyAlignment="1">
      <alignment wrapText="1"/>
    </xf>
    <xf numFmtId="4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3" fontId="0" fillId="0" borderId="2" xfId="0" applyNumberFormat="1" applyBorder="1" applyAlignment="1">
      <alignment wrapText="1"/>
    </xf>
    <xf numFmtId="14" fontId="4" fillId="0" borderId="0" xfId="0" applyNumberFormat="1" applyFont="1" applyAlignment="1">
      <alignment horizontal="left" vertical="top" wrapText="1"/>
    </xf>
    <xf numFmtId="43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/>
    <xf numFmtId="14" fontId="4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3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164" fontId="2" fillId="3" borderId="2" xfId="0" applyNumberFormat="1" applyFont="1" applyFill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164" fontId="0" fillId="0" borderId="0" xfId="0" applyNumberFormat="1" applyFont="1" applyAlignment="1">
      <alignment horizontal="left" wrapText="1"/>
    </xf>
    <xf numFmtId="164" fontId="2" fillId="5" borderId="2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0" borderId="0" xfId="0" applyNumberFormat="1" applyAlignment="1">
      <alignment horizontal="left" wrapText="1"/>
    </xf>
    <xf numFmtId="44" fontId="2" fillId="3" borderId="2" xfId="0" applyNumberFormat="1" applyFont="1" applyFill="1" applyBorder="1" applyAlignment="1">
      <alignment wrapText="1"/>
    </xf>
    <xf numFmtId="44" fontId="1" fillId="0" borderId="2" xfId="0" applyNumberFormat="1" applyFont="1" applyBorder="1" applyAlignment="1">
      <alignment wrapText="1"/>
    </xf>
    <xf numFmtId="44" fontId="0" fillId="0" borderId="0" xfId="0" applyNumberFormat="1" applyFont="1" applyAlignment="1">
      <alignment wrapText="1"/>
    </xf>
    <xf numFmtId="44" fontId="2" fillId="5" borderId="2" xfId="0" applyNumberFormat="1" applyFont="1" applyFill="1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14" fontId="0" fillId="0" borderId="0" xfId="0" applyNumberFormat="1" applyFont="1" applyAlignment="1">
      <alignment horizontal="left" wrapText="1"/>
    </xf>
    <xf numFmtId="43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14" fontId="0" fillId="0" borderId="0" xfId="0" quotePrefix="1" applyNumberFormat="1" applyFont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43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4" fillId="0" borderId="0" xfId="0" quotePrefix="1" applyNumberFormat="1" applyFont="1" applyFill="1" applyAlignment="1">
      <alignment horizontal="left" vertical="top" wrapText="1"/>
    </xf>
    <xf numFmtId="4" fontId="4" fillId="0" borderId="0" xfId="0" applyNumberFormat="1" applyFont="1" applyAlignment="1">
      <alignment horizontal="right" wrapText="1"/>
    </xf>
    <xf numFmtId="4" fontId="0" fillId="0" borderId="0" xfId="0" applyNumberFormat="1" applyFont="1" applyAlignment="1">
      <alignment horizontal="right" wrapText="1"/>
    </xf>
    <xf numFmtId="4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43" fontId="0" fillId="0" borderId="0" xfId="0" applyNumberFormat="1" applyFont="1" applyBorder="1" applyAlignment="1">
      <alignment horizontal="left" vertical="top" wrapText="1"/>
    </xf>
    <xf numFmtId="43" fontId="0" fillId="0" borderId="0" xfId="0" applyNumberFormat="1" applyFont="1" applyBorder="1" applyAlignment="1">
      <alignment horizontal="right" vertical="top" wrapText="1"/>
    </xf>
    <xf numFmtId="43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43" fontId="0" fillId="0" borderId="0" xfId="0" applyNumberFormat="1" applyFont="1" applyBorder="1" applyAlignment="1">
      <alignment wrapText="1"/>
    </xf>
    <xf numFmtId="14" fontId="0" fillId="0" borderId="0" xfId="0" quotePrefix="1" applyNumberFormat="1" applyFont="1" applyFill="1" applyAlignment="1">
      <alignment horizontal="left" vertical="top" wrapText="1"/>
    </xf>
    <xf numFmtId="17" fontId="0" fillId="0" borderId="0" xfId="0" applyNumberFormat="1" applyFont="1" applyAlignment="1">
      <alignment horizontal="left" vertical="top"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Font="1" applyFill="1" applyAlignment="1">
      <alignment horizontal="left" vertical="top" wrapText="1"/>
    </xf>
    <xf numFmtId="43" fontId="0" fillId="0" borderId="3" xfId="0" applyNumberFormat="1" applyFont="1" applyBorder="1" applyAlignment="1">
      <alignment wrapText="1"/>
    </xf>
    <xf numFmtId="43" fontId="4" fillId="0" borderId="3" xfId="0" applyNumberFormat="1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4"/>
  <sheetViews>
    <sheetView tabSelected="1" workbookViewId="0">
      <selection sqref="A1:E1"/>
    </sheetView>
  </sheetViews>
  <sheetFormatPr defaultRowHeight="12.75" x14ac:dyDescent="0.2"/>
  <cols>
    <col min="1" max="1" width="19.28515625" style="18" customWidth="1"/>
    <col min="2" max="2" width="13.42578125" style="19" customWidth="1"/>
    <col min="3" max="3" width="63.42578125" style="2" bestFit="1" customWidth="1"/>
    <col min="4" max="4" width="27.140625" style="2" customWidth="1"/>
    <col min="5" max="5" width="30" style="2" customWidth="1"/>
    <col min="6" max="6" width="19.5703125" style="2" hidden="1" customWidth="1"/>
    <col min="7" max="7" width="28.42578125" style="2" customWidth="1"/>
    <col min="8" max="16384" width="9.140625" style="2"/>
  </cols>
  <sheetData>
    <row r="1" spans="1:5" s="7" customFormat="1" ht="36" customHeight="1" x14ac:dyDescent="0.25">
      <c r="A1" s="92" t="s">
        <v>26</v>
      </c>
      <c r="B1" s="93"/>
      <c r="C1" s="93"/>
      <c r="D1" s="93"/>
      <c r="E1" s="93"/>
    </row>
    <row r="2" spans="1:5" s="3" customFormat="1" ht="35.25" customHeight="1" x14ac:dyDescent="0.25">
      <c r="A2" s="94" t="s">
        <v>31</v>
      </c>
      <c r="B2" s="95"/>
      <c r="C2" s="94" t="s">
        <v>269</v>
      </c>
      <c r="D2" s="95"/>
    </row>
    <row r="3" spans="1:5" s="4" customFormat="1" ht="30.75" customHeight="1" x14ac:dyDescent="0.2">
      <c r="A3" s="22" t="s">
        <v>3</v>
      </c>
      <c r="B3" s="96" t="s">
        <v>4</v>
      </c>
      <c r="C3" s="96"/>
    </row>
    <row r="4" spans="1:5" s="3" customFormat="1" ht="25.5" x14ac:dyDescent="0.2">
      <c r="A4" s="24" t="s">
        <v>0</v>
      </c>
      <c r="B4" s="25" t="s">
        <v>2</v>
      </c>
      <c r="C4" s="3" t="s">
        <v>5</v>
      </c>
      <c r="D4" s="3" t="s">
        <v>6</v>
      </c>
      <c r="E4" s="3" t="s">
        <v>1</v>
      </c>
    </row>
    <row r="5" spans="1:5" s="28" customFormat="1" x14ac:dyDescent="0.2">
      <c r="A5" s="26" t="s">
        <v>30</v>
      </c>
      <c r="B5" s="27">
        <v>0</v>
      </c>
    </row>
    <row r="6" spans="1:5" s="28" customFormat="1" x14ac:dyDescent="0.2">
      <c r="A6" s="26"/>
      <c r="B6" s="27"/>
    </row>
    <row r="7" spans="1:5" s="30" customFormat="1" ht="27" customHeight="1" x14ac:dyDescent="0.2">
      <c r="A7" s="29" t="s">
        <v>3</v>
      </c>
      <c r="B7" s="97" t="s">
        <v>7</v>
      </c>
      <c r="C7" s="97"/>
    </row>
    <row r="8" spans="1:5" s="33" customFormat="1" ht="25.5" x14ac:dyDescent="0.2">
      <c r="A8" s="31" t="s">
        <v>0</v>
      </c>
      <c r="B8" s="32" t="s">
        <v>2</v>
      </c>
    </row>
    <row r="9" spans="1:5" s="28" customFormat="1" x14ac:dyDescent="0.2">
      <c r="A9" s="26" t="s">
        <v>30</v>
      </c>
      <c r="B9" s="27">
        <v>0</v>
      </c>
    </row>
    <row r="10" spans="1:5" s="28" customFormat="1" x14ac:dyDescent="0.2">
      <c r="A10" s="26"/>
      <c r="B10" s="27"/>
    </row>
    <row r="11" spans="1:5" s="35" customFormat="1" ht="21.75" customHeight="1" x14ac:dyDescent="0.2">
      <c r="A11" s="34" t="s">
        <v>8</v>
      </c>
      <c r="B11" s="91" t="s">
        <v>4</v>
      </c>
      <c r="C11" s="91"/>
    </row>
    <row r="12" spans="1:5" s="33" customFormat="1" ht="25.5" customHeight="1" x14ac:dyDescent="0.2">
      <c r="A12" s="31" t="s">
        <v>0</v>
      </c>
      <c r="B12" s="32" t="s">
        <v>2</v>
      </c>
      <c r="C12" s="33" t="s">
        <v>24</v>
      </c>
      <c r="D12" s="33" t="s">
        <v>6</v>
      </c>
      <c r="E12" s="33" t="s">
        <v>1</v>
      </c>
    </row>
    <row r="13" spans="1:5" s="79" customFormat="1" ht="13.15" customHeight="1" x14ac:dyDescent="0.2">
      <c r="A13" s="47"/>
      <c r="B13" s="80"/>
    </row>
    <row r="14" spans="1:5" s="79" customFormat="1" ht="13.15" customHeight="1" x14ac:dyDescent="0.2">
      <c r="A14" s="78" t="s">
        <v>43</v>
      </c>
      <c r="B14" s="81">
        <f>42.07</f>
        <v>42.07</v>
      </c>
      <c r="C14" s="79" t="s">
        <v>283</v>
      </c>
      <c r="D14" s="79" t="s">
        <v>42</v>
      </c>
      <c r="E14" s="79" t="s">
        <v>32</v>
      </c>
    </row>
    <row r="15" spans="1:5" s="49" customFormat="1" x14ac:dyDescent="0.2">
      <c r="A15" s="47" t="s">
        <v>44</v>
      </c>
      <c r="B15" s="48">
        <v>50</v>
      </c>
      <c r="C15" s="49" t="s">
        <v>45</v>
      </c>
      <c r="D15" s="79" t="s">
        <v>28</v>
      </c>
      <c r="E15" s="79" t="s">
        <v>29</v>
      </c>
    </row>
    <row r="16" spans="1:5" s="49" customFormat="1" x14ac:dyDescent="0.2">
      <c r="A16" s="78" t="s">
        <v>41</v>
      </c>
      <c r="B16" s="81">
        <f>93.81</f>
        <v>93.81</v>
      </c>
      <c r="C16" s="49" t="s">
        <v>284</v>
      </c>
      <c r="D16" s="79" t="s">
        <v>42</v>
      </c>
      <c r="E16" s="79" t="s">
        <v>32</v>
      </c>
    </row>
    <row r="17" spans="1:5" s="49" customFormat="1" x14ac:dyDescent="0.2">
      <c r="A17" s="47" t="s">
        <v>72</v>
      </c>
      <c r="B17" s="48">
        <f>335.57</f>
        <v>335.57</v>
      </c>
      <c r="C17" s="49" t="s">
        <v>285</v>
      </c>
      <c r="D17" s="79" t="s">
        <v>42</v>
      </c>
      <c r="E17" s="79" t="s">
        <v>32</v>
      </c>
    </row>
    <row r="18" spans="1:5" s="49" customFormat="1" x14ac:dyDescent="0.2">
      <c r="A18" s="47" t="s">
        <v>131</v>
      </c>
      <c r="B18" s="48">
        <f>21.74</f>
        <v>21.74</v>
      </c>
      <c r="C18" s="49" t="s">
        <v>286</v>
      </c>
      <c r="D18" s="49" t="s">
        <v>42</v>
      </c>
      <c r="E18" s="49" t="s">
        <v>32</v>
      </c>
    </row>
    <row r="19" spans="1:5" s="49" customFormat="1" x14ac:dyDescent="0.2">
      <c r="A19" s="86"/>
      <c r="B19" s="48"/>
    </row>
    <row r="20" spans="1:5" s="36" customFormat="1" x14ac:dyDescent="0.2">
      <c r="A20" s="46" t="s">
        <v>27</v>
      </c>
      <c r="B20" s="90">
        <f>SUM(B13:B19)</f>
        <v>543.19000000000005</v>
      </c>
    </row>
    <row r="21" spans="1:5" s="28" customFormat="1" x14ac:dyDescent="0.2">
      <c r="A21" s="26"/>
      <c r="B21" s="27"/>
    </row>
    <row r="22" spans="1:5" s="35" customFormat="1" ht="30" customHeight="1" x14ac:dyDescent="0.2">
      <c r="A22" s="34" t="s">
        <v>9</v>
      </c>
      <c r="B22" s="91" t="s">
        <v>7</v>
      </c>
      <c r="C22" s="91"/>
    </row>
    <row r="23" spans="1:5" s="33" customFormat="1" ht="25.5" x14ac:dyDescent="0.2">
      <c r="A23" s="31" t="s">
        <v>0</v>
      </c>
      <c r="B23" s="32" t="s">
        <v>2</v>
      </c>
      <c r="C23" s="33" t="s">
        <v>24</v>
      </c>
      <c r="D23" s="33" t="s">
        <v>6</v>
      </c>
      <c r="E23" s="33" t="s">
        <v>1</v>
      </c>
    </row>
    <row r="24" spans="1:5" s="69" customFormat="1" ht="13.15" customHeight="1" x14ac:dyDescent="0.2">
      <c r="A24" s="41"/>
      <c r="B24" s="68"/>
    </row>
    <row r="25" spans="1:5" s="79" customFormat="1" ht="13.15" customHeight="1" x14ac:dyDescent="0.2">
      <c r="A25" s="78" t="s">
        <v>34</v>
      </c>
      <c r="B25" s="81">
        <v>125.6</v>
      </c>
      <c r="C25" s="79" t="s">
        <v>249</v>
      </c>
      <c r="D25" s="79" t="s">
        <v>33</v>
      </c>
      <c r="E25" s="79" t="s">
        <v>32</v>
      </c>
    </row>
    <row r="26" spans="1:5" s="79" customFormat="1" ht="13.15" customHeight="1" x14ac:dyDescent="0.2">
      <c r="A26" s="88" t="s">
        <v>50</v>
      </c>
      <c r="B26" s="80">
        <f>181.56</f>
        <v>181.56</v>
      </c>
      <c r="C26" s="79" t="s">
        <v>287</v>
      </c>
      <c r="D26" s="79" t="s">
        <v>42</v>
      </c>
      <c r="E26" s="79" t="s">
        <v>32</v>
      </c>
    </row>
    <row r="27" spans="1:5" s="79" customFormat="1" ht="13.15" customHeight="1" x14ac:dyDescent="0.2">
      <c r="A27" s="47" t="s">
        <v>83</v>
      </c>
      <c r="B27" s="80">
        <f>25.92</f>
        <v>25.92</v>
      </c>
      <c r="C27" s="79" t="s">
        <v>288</v>
      </c>
      <c r="D27" s="79" t="s">
        <v>35</v>
      </c>
      <c r="E27" s="79" t="s">
        <v>32</v>
      </c>
    </row>
    <row r="28" spans="1:5" s="79" customFormat="1" ht="13.15" customHeight="1" x14ac:dyDescent="0.2">
      <c r="A28" s="47" t="s">
        <v>83</v>
      </c>
      <c r="B28" s="80">
        <f>37.48</f>
        <v>37.479999999999997</v>
      </c>
      <c r="C28" s="79" t="s">
        <v>37</v>
      </c>
      <c r="D28" s="79" t="s">
        <v>35</v>
      </c>
      <c r="E28" s="79" t="s">
        <v>36</v>
      </c>
    </row>
    <row r="29" spans="1:5" s="79" customFormat="1" ht="13.15" customHeight="1" x14ac:dyDescent="0.2">
      <c r="A29" s="47" t="s">
        <v>84</v>
      </c>
      <c r="B29" s="80">
        <f>14.69</f>
        <v>14.69</v>
      </c>
      <c r="C29" s="79" t="s">
        <v>251</v>
      </c>
      <c r="D29" s="79" t="s">
        <v>35</v>
      </c>
      <c r="E29" s="79" t="s">
        <v>36</v>
      </c>
    </row>
    <row r="30" spans="1:5" s="79" customFormat="1" ht="13.15" customHeight="1" x14ac:dyDescent="0.2">
      <c r="A30" s="47" t="s">
        <v>59</v>
      </c>
      <c r="B30" s="80">
        <f>51.08</f>
        <v>51.08</v>
      </c>
      <c r="C30" s="79" t="s">
        <v>37</v>
      </c>
      <c r="D30" s="79" t="s">
        <v>35</v>
      </c>
      <c r="E30" s="79" t="s">
        <v>36</v>
      </c>
    </row>
    <row r="31" spans="1:5" s="79" customFormat="1" ht="14.25" customHeight="1" x14ac:dyDescent="0.2">
      <c r="A31" s="78" t="s">
        <v>59</v>
      </c>
      <c r="B31" s="81">
        <f>333.99</f>
        <v>333.99</v>
      </c>
      <c r="C31" s="79" t="s">
        <v>289</v>
      </c>
      <c r="D31" s="79" t="s">
        <v>28</v>
      </c>
      <c r="E31" s="79" t="s">
        <v>60</v>
      </c>
    </row>
    <row r="32" spans="1:5" s="79" customFormat="1" ht="13.15" customHeight="1" x14ac:dyDescent="0.2">
      <c r="A32" s="78" t="s">
        <v>59</v>
      </c>
      <c r="B32" s="81">
        <f>93.96</f>
        <v>93.96</v>
      </c>
      <c r="C32" s="79" t="s">
        <v>89</v>
      </c>
      <c r="D32" s="79" t="s">
        <v>35</v>
      </c>
      <c r="E32" s="79" t="s">
        <v>32</v>
      </c>
    </row>
    <row r="33" spans="1:7" s="79" customFormat="1" ht="13.15" customHeight="1" x14ac:dyDescent="0.2">
      <c r="A33" s="78" t="s">
        <v>90</v>
      </c>
      <c r="B33" s="81">
        <f>35.86</f>
        <v>35.86</v>
      </c>
      <c r="C33" s="79" t="s">
        <v>290</v>
      </c>
      <c r="D33" s="79" t="s">
        <v>35</v>
      </c>
      <c r="E33" s="79" t="s">
        <v>32</v>
      </c>
    </row>
    <row r="34" spans="1:7" s="79" customFormat="1" ht="13.15" customHeight="1" x14ac:dyDescent="0.2">
      <c r="A34" s="78" t="s">
        <v>90</v>
      </c>
      <c r="B34" s="81">
        <f>31.1</f>
        <v>31.1</v>
      </c>
      <c r="C34" s="79" t="s">
        <v>291</v>
      </c>
      <c r="D34" s="79" t="s">
        <v>35</v>
      </c>
      <c r="E34" s="79" t="s">
        <v>32</v>
      </c>
    </row>
    <row r="35" spans="1:7" s="79" customFormat="1" ht="13.15" customHeight="1" x14ac:dyDescent="0.2">
      <c r="A35" s="78" t="s">
        <v>61</v>
      </c>
      <c r="B35" s="81">
        <f>80.35</f>
        <v>80.349999999999994</v>
      </c>
      <c r="C35" s="79" t="s">
        <v>89</v>
      </c>
      <c r="D35" s="79" t="s">
        <v>35</v>
      </c>
      <c r="E35" s="79" t="s">
        <v>32</v>
      </c>
    </row>
    <row r="36" spans="1:7" s="49" customFormat="1" x14ac:dyDescent="0.2">
      <c r="A36" s="47" t="s">
        <v>61</v>
      </c>
      <c r="B36" s="48">
        <f>259+5</f>
        <v>264</v>
      </c>
      <c r="C36" s="49" t="s">
        <v>292</v>
      </c>
      <c r="D36" s="49" t="s">
        <v>28</v>
      </c>
      <c r="E36" s="49" t="s">
        <v>29</v>
      </c>
    </row>
    <row r="37" spans="1:7" s="49" customFormat="1" x14ac:dyDescent="0.2">
      <c r="A37" s="47" t="s">
        <v>61</v>
      </c>
      <c r="B37" s="48">
        <f>58</f>
        <v>58</v>
      </c>
      <c r="C37" s="79" t="s">
        <v>37</v>
      </c>
      <c r="D37" s="79" t="s">
        <v>35</v>
      </c>
      <c r="E37" s="79" t="s">
        <v>36</v>
      </c>
      <c r="F37" s="79"/>
      <c r="G37" s="79"/>
    </row>
    <row r="38" spans="1:7" s="49" customFormat="1" x14ac:dyDescent="0.2">
      <c r="A38" s="47" t="s">
        <v>86</v>
      </c>
      <c r="B38" s="48">
        <f>9.94</f>
        <v>9.94</v>
      </c>
      <c r="C38" s="79" t="s">
        <v>274</v>
      </c>
      <c r="D38" s="79" t="s">
        <v>35</v>
      </c>
      <c r="E38" s="79" t="s">
        <v>36</v>
      </c>
      <c r="F38" s="79"/>
      <c r="G38" s="79"/>
    </row>
    <row r="39" spans="1:7" s="49" customFormat="1" x14ac:dyDescent="0.2">
      <c r="A39" s="47" t="s">
        <v>87</v>
      </c>
      <c r="B39" s="48">
        <f>22.46</f>
        <v>22.46</v>
      </c>
      <c r="C39" s="79" t="s">
        <v>250</v>
      </c>
      <c r="D39" s="79" t="s">
        <v>35</v>
      </c>
      <c r="E39" s="79" t="s">
        <v>36</v>
      </c>
      <c r="F39" s="79"/>
      <c r="G39" s="79"/>
    </row>
    <row r="40" spans="1:7" s="49" customFormat="1" x14ac:dyDescent="0.2">
      <c r="A40" s="47" t="s">
        <v>88</v>
      </c>
      <c r="B40" s="48">
        <f>39.96</f>
        <v>39.96</v>
      </c>
      <c r="C40" s="49" t="s">
        <v>37</v>
      </c>
      <c r="D40" s="79" t="s">
        <v>35</v>
      </c>
      <c r="E40" s="79" t="s">
        <v>36</v>
      </c>
      <c r="F40" s="79"/>
      <c r="G40" s="79"/>
    </row>
    <row r="41" spans="1:7" s="49" customFormat="1" ht="15.75" customHeight="1" x14ac:dyDescent="0.2">
      <c r="A41" s="47" t="s">
        <v>54</v>
      </c>
      <c r="B41" s="48">
        <f>407+5+10.01+10.01</f>
        <v>432.02</v>
      </c>
      <c r="C41" s="49" t="s">
        <v>103</v>
      </c>
      <c r="D41" s="49" t="s">
        <v>28</v>
      </c>
      <c r="E41" s="49" t="s">
        <v>62</v>
      </c>
    </row>
    <row r="42" spans="1:7" s="83" customFormat="1" ht="25.5" x14ac:dyDescent="0.2">
      <c r="A42" s="88" t="s">
        <v>54</v>
      </c>
      <c r="B42" s="82">
        <f>997.53-259.51-90.68</f>
        <v>647.33999999999992</v>
      </c>
      <c r="C42" s="83" t="s">
        <v>293</v>
      </c>
      <c r="D42" s="83" t="s">
        <v>42</v>
      </c>
      <c r="E42" s="83" t="s">
        <v>32</v>
      </c>
    </row>
    <row r="43" spans="1:7" s="83" customFormat="1" ht="25.5" x14ac:dyDescent="0.2">
      <c r="A43" s="88" t="s">
        <v>71</v>
      </c>
      <c r="B43" s="82">
        <f>206.4</f>
        <v>206.4</v>
      </c>
      <c r="C43" s="83" t="s">
        <v>293</v>
      </c>
      <c r="D43" s="83" t="s">
        <v>69</v>
      </c>
      <c r="E43" s="83" t="s">
        <v>32</v>
      </c>
    </row>
    <row r="44" spans="1:7" s="49" customFormat="1" x14ac:dyDescent="0.2">
      <c r="A44" s="47" t="s">
        <v>77</v>
      </c>
      <c r="B44" s="48">
        <f>45.9</f>
        <v>45.9</v>
      </c>
      <c r="C44" s="49" t="s">
        <v>37</v>
      </c>
      <c r="D44" s="49" t="s">
        <v>35</v>
      </c>
      <c r="E44" s="83" t="s">
        <v>36</v>
      </c>
      <c r="F44" s="83"/>
    </row>
    <row r="45" spans="1:7" s="49" customFormat="1" ht="15" customHeight="1" x14ac:dyDescent="0.2">
      <c r="A45" s="47" t="s">
        <v>85</v>
      </c>
      <c r="B45" s="48">
        <f>38.66</f>
        <v>38.659999999999997</v>
      </c>
      <c r="C45" s="79" t="s">
        <v>295</v>
      </c>
      <c r="D45" s="49" t="s">
        <v>35</v>
      </c>
      <c r="E45" s="83" t="s">
        <v>36</v>
      </c>
      <c r="F45" s="83"/>
    </row>
    <row r="46" spans="1:7" s="49" customFormat="1" ht="15" customHeight="1" x14ac:dyDescent="0.2">
      <c r="A46" s="47" t="s">
        <v>85</v>
      </c>
      <c r="B46" s="48">
        <f>48.06</f>
        <v>48.06</v>
      </c>
      <c r="C46" s="79" t="s">
        <v>275</v>
      </c>
      <c r="D46" s="49" t="s">
        <v>35</v>
      </c>
      <c r="E46" s="83" t="s">
        <v>36</v>
      </c>
      <c r="F46" s="83"/>
    </row>
    <row r="47" spans="1:7" s="49" customFormat="1" ht="25.5" x14ac:dyDescent="0.2">
      <c r="A47" s="67" t="s">
        <v>63</v>
      </c>
      <c r="B47" s="48">
        <f>431+5+5-431</f>
        <v>10</v>
      </c>
      <c r="C47" s="49" t="s">
        <v>294</v>
      </c>
      <c r="D47" s="49" t="s">
        <v>28</v>
      </c>
      <c r="E47" s="49" t="s">
        <v>64</v>
      </c>
    </row>
    <row r="48" spans="1:7" s="49" customFormat="1" x14ac:dyDescent="0.2">
      <c r="A48" s="67" t="s">
        <v>91</v>
      </c>
      <c r="B48" s="48">
        <f>73.98</f>
        <v>73.98</v>
      </c>
      <c r="C48" s="49" t="s">
        <v>276</v>
      </c>
      <c r="D48" s="49" t="s">
        <v>35</v>
      </c>
      <c r="E48" s="49" t="s">
        <v>36</v>
      </c>
    </row>
    <row r="49" spans="1:6" s="49" customFormat="1" x14ac:dyDescent="0.2">
      <c r="A49" s="67" t="s">
        <v>91</v>
      </c>
      <c r="B49" s="48">
        <f>65</f>
        <v>65</v>
      </c>
      <c r="C49" s="49" t="s">
        <v>276</v>
      </c>
      <c r="D49" s="49" t="s">
        <v>35</v>
      </c>
      <c r="E49" s="49" t="s">
        <v>36</v>
      </c>
    </row>
    <row r="50" spans="1:6" s="49" customFormat="1" x14ac:dyDescent="0.2">
      <c r="A50" s="67" t="s">
        <v>43</v>
      </c>
      <c r="B50" s="48">
        <f>38.45</f>
        <v>38.450000000000003</v>
      </c>
      <c r="C50" s="49" t="s">
        <v>37</v>
      </c>
      <c r="D50" s="49" t="s">
        <v>35</v>
      </c>
      <c r="E50" s="49" t="s">
        <v>36</v>
      </c>
    </row>
    <row r="51" spans="1:6" s="49" customFormat="1" ht="15.75" customHeight="1" x14ac:dyDescent="0.2">
      <c r="A51" s="67" t="s">
        <v>51</v>
      </c>
      <c r="B51" s="48">
        <f>524+5+5</f>
        <v>534</v>
      </c>
      <c r="C51" s="49" t="s">
        <v>52</v>
      </c>
      <c r="D51" s="49" t="s">
        <v>28</v>
      </c>
      <c r="E51" s="49" t="s">
        <v>62</v>
      </c>
    </row>
    <row r="52" spans="1:6" s="49" customFormat="1" x14ac:dyDescent="0.2">
      <c r="A52" s="67" t="s">
        <v>51</v>
      </c>
      <c r="B52" s="48">
        <f>201.38</f>
        <v>201.38</v>
      </c>
      <c r="C52" s="49" t="s">
        <v>52</v>
      </c>
      <c r="D52" s="49" t="s">
        <v>42</v>
      </c>
      <c r="E52" s="49" t="s">
        <v>32</v>
      </c>
    </row>
    <row r="53" spans="1:6" s="49" customFormat="1" x14ac:dyDescent="0.2">
      <c r="A53" s="67" t="s">
        <v>79</v>
      </c>
      <c r="B53" s="48">
        <f>40.93</f>
        <v>40.93</v>
      </c>
      <c r="C53" s="49" t="s">
        <v>37</v>
      </c>
      <c r="D53" s="49" t="s">
        <v>35</v>
      </c>
      <c r="E53" s="49" t="s">
        <v>36</v>
      </c>
    </row>
    <row r="54" spans="1:6" s="49" customFormat="1" x14ac:dyDescent="0.2">
      <c r="A54" s="67" t="s">
        <v>79</v>
      </c>
      <c r="B54" s="48">
        <f>376+5</f>
        <v>381</v>
      </c>
      <c r="C54" s="49" t="s">
        <v>114</v>
      </c>
      <c r="D54" s="49" t="s">
        <v>28</v>
      </c>
      <c r="E54" s="49" t="s">
        <v>78</v>
      </c>
    </row>
    <row r="55" spans="1:6" s="49" customFormat="1" x14ac:dyDescent="0.2">
      <c r="A55" s="67" t="s">
        <v>79</v>
      </c>
      <c r="B55" s="48">
        <f>98.28</f>
        <v>98.28</v>
      </c>
      <c r="C55" s="49" t="s">
        <v>89</v>
      </c>
      <c r="D55" s="49" t="s">
        <v>35</v>
      </c>
      <c r="E55" s="49" t="s">
        <v>32</v>
      </c>
    </row>
    <row r="56" spans="1:6" s="49" customFormat="1" x14ac:dyDescent="0.2">
      <c r="A56" s="67" t="s">
        <v>92</v>
      </c>
      <c r="B56" s="48">
        <f>39.53</f>
        <v>39.53</v>
      </c>
      <c r="C56" s="49" t="s">
        <v>114</v>
      </c>
      <c r="D56" s="49" t="s">
        <v>35</v>
      </c>
      <c r="E56" s="49" t="s">
        <v>32</v>
      </c>
    </row>
    <row r="57" spans="1:6" s="49" customFormat="1" x14ac:dyDescent="0.2">
      <c r="A57" s="67" t="s">
        <v>92</v>
      </c>
      <c r="B57" s="48">
        <f>65.45</f>
        <v>65.45</v>
      </c>
      <c r="C57" s="49" t="s">
        <v>114</v>
      </c>
      <c r="D57" s="49" t="s">
        <v>35</v>
      </c>
      <c r="E57" s="49" t="s">
        <v>32</v>
      </c>
    </row>
    <row r="58" spans="1:6" s="49" customFormat="1" ht="14.25" customHeight="1" x14ac:dyDescent="0.2">
      <c r="A58" s="67" t="s">
        <v>44</v>
      </c>
      <c r="B58" s="48">
        <f>39.31</f>
        <v>39.31</v>
      </c>
      <c r="C58" s="49" t="s">
        <v>37</v>
      </c>
      <c r="D58" s="49" t="s">
        <v>35</v>
      </c>
      <c r="E58" s="49" t="s">
        <v>36</v>
      </c>
    </row>
    <row r="59" spans="1:6" s="49" customFormat="1" ht="14.25" customHeight="1" x14ac:dyDescent="0.2">
      <c r="A59" s="67" t="s">
        <v>93</v>
      </c>
      <c r="B59" s="48">
        <f>37.91</f>
        <v>37.909999999999997</v>
      </c>
      <c r="C59" s="49" t="s">
        <v>37</v>
      </c>
      <c r="D59" s="49" t="s">
        <v>35</v>
      </c>
      <c r="E59" s="49" t="s">
        <v>36</v>
      </c>
    </row>
    <row r="60" spans="1:6" s="49" customFormat="1" ht="14.25" customHeight="1" x14ac:dyDescent="0.2">
      <c r="A60" s="67" t="s">
        <v>53</v>
      </c>
      <c r="B60" s="48">
        <f>603+37</f>
        <v>640</v>
      </c>
      <c r="C60" s="49" t="s">
        <v>296</v>
      </c>
      <c r="D60" s="49" t="s">
        <v>28</v>
      </c>
      <c r="E60" s="49" t="s">
        <v>62</v>
      </c>
    </row>
    <row r="61" spans="1:6" s="49" customFormat="1" ht="14.25" customHeight="1" x14ac:dyDescent="0.2">
      <c r="A61" s="67" t="s">
        <v>53</v>
      </c>
      <c r="B61" s="48">
        <f>189.09</f>
        <v>189.09</v>
      </c>
      <c r="C61" s="49" t="s">
        <v>296</v>
      </c>
      <c r="D61" s="49" t="s">
        <v>42</v>
      </c>
      <c r="E61" s="49" t="s">
        <v>32</v>
      </c>
    </row>
    <row r="62" spans="1:6" s="49" customFormat="1" ht="14.25" customHeight="1" x14ac:dyDescent="0.2">
      <c r="A62" s="67" t="s">
        <v>70</v>
      </c>
      <c r="B62" s="48">
        <f>34.4</f>
        <v>34.4</v>
      </c>
      <c r="C62" s="49" t="s">
        <v>296</v>
      </c>
      <c r="D62" s="49" t="s">
        <v>69</v>
      </c>
      <c r="E62" s="83" t="s">
        <v>32</v>
      </c>
      <c r="F62" s="83"/>
    </row>
    <row r="63" spans="1:6" s="49" customFormat="1" x14ac:dyDescent="0.2">
      <c r="A63" s="67" t="s">
        <v>70</v>
      </c>
      <c r="B63" s="48">
        <f>33.91</f>
        <v>33.909999999999997</v>
      </c>
      <c r="C63" s="49" t="s">
        <v>297</v>
      </c>
      <c r="D63" s="49" t="s">
        <v>35</v>
      </c>
      <c r="E63" s="49" t="s">
        <v>32</v>
      </c>
    </row>
    <row r="64" spans="1:6" s="49" customFormat="1" x14ac:dyDescent="0.2">
      <c r="A64" s="67" t="s">
        <v>94</v>
      </c>
      <c r="B64" s="48">
        <f>34.13</f>
        <v>34.130000000000003</v>
      </c>
      <c r="C64" s="49" t="s">
        <v>37</v>
      </c>
      <c r="D64" s="49" t="s">
        <v>35</v>
      </c>
      <c r="E64" s="49" t="s">
        <v>36</v>
      </c>
    </row>
    <row r="65" spans="1:7" s="49" customFormat="1" ht="38.25" x14ac:dyDescent="0.2">
      <c r="A65" s="67" t="s">
        <v>115</v>
      </c>
      <c r="B65" s="48">
        <f>734+5</f>
        <v>739</v>
      </c>
      <c r="C65" s="49" t="s">
        <v>298</v>
      </c>
      <c r="D65" s="49" t="s">
        <v>28</v>
      </c>
      <c r="E65" s="49" t="s">
        <v>273</v>
      </c>
    </row>
    <row r="66" spans="1:7" s="49" customFormat="1" ht="38.25" x14ac:dyDescent="0.2">
      <c r="A66" s="67" t="s">
        <v>55</v>
      </c>
      <c r="B66" s="48">
        <f>141.6</f>
        <v>141.6</v>
      </c>
      <c r="C66" s="49" t="s">
        <v>299</v>
      </c>
      <c r="D66" s="49" t="s">
        <v>42</v>
      </c>
      <c r="E66" s="49" t="s">
        <v>32</v>
      </c>
    </row>
    <row r="67" spans="1:7" s="49" customFormat="1" x14ac:dyDescent="0.2">
      <c r="A67" s="67" t="s">
        <v>65</v>
      </c>
      <c r="B67" s="48">
        <f>17</f>
        <v>17</v>
      </c>
      <c r="C67" s="49" t="s">
        <v>67</v>
      </c>
      <c r="D67" s="49" t="s">
        <v>66</v>
      </c>
      <c r="E67" s="49" t="s">
        <v>32</v>
      </c>
    </row>
    <row r="68" spans="1:7" s="49" customFormat="1" ht="18" customHeight="1" x14ac:dyDescent="0.2">
      <c r="A68" s="47" t="s">
        <v>56</v>
      </c>
      <c r="B68" s="48">
        <f>264.81</f>
        <v>264.81</v>
      </c>
      <c r="C68" s="49" t="s">
        <v>300</v>
      </c>
      <c r="D68" s="49" t="s">
        <v>42</v>
      </c>
      <c r="E68" s="49" t="s">
        <v>239</v>
      </c>
    </row>
    <row r="69" spans="1:7" s="49" customFormat="1" ht="15" customHeight="1" x14ac:dyDescent="0.2">
      <c r="A69" s="67" t="s">
        <v>238</v>
      </c>
      <c r="B69" s="48">
        <f>165+165-135</f>
        <v>195</v>
      </c>
      <c r="C69" s="49" t="s">
        <v>300</v>
      </c>
      <c r="D69" s="49" t="s">
        <v>40</v>
      </c>
      <c r="E69" s="49" t="s">
        <v>116</v>
      </c>
    </row>
    <row r="70" spans="1:7" s="49" customFormat="1" x14ac:dyDescent="0.2">
      <c r="A70" s="67" t="s">
        <v>95</v>
      </c>
      <c r="B70" s="48">
        <f>47.52</f>
        <v>47.52</v>
      </c>
      <c r="C70" s="49" t="s">
        <v>37</v>
      </c>
      <c r="D70" s="49" t="s">
        <v>35</v>
      </c>
      <c r="E70" s="49" t="s">
        <v>36</v>
      </c>
    </row>
    <row r="71" spans="1:7" s="49" customFormat="1" x14ac:dyDescent="0.2">
      <c r="A71" s="67" t="s">
        <v>95</v>
      </c>
      <c r="B71" s="48">
        <f>102.38</f>
        <v>102.38</v>
      </c>
      <c r="C71" s="49" t="s">
        <v>89</v>
      </c>
      <c r="D71" s="49" t="s">
        <v>35</v>
      </c>
      <c r="E71" s="49" t="s">
        <v>32</v>
      </c>
    </row>
    <row r="72" spans="1:7" s="49" customFormat="1" ht="14.25" customHeight="1" x14ac:dyDescent="0.2">
      <c r="A72" s="67" t="s">
        <v>80</v>
      </c>
      <c r="B72" s="48">
        <f>640+10.01+5</f>
        <v>655.01</v>
      </c>
      <c r="C72" s="49" t="s">
        <v>252</v>
      </c>
      <c r="D72" s="49" t="s">
        <v>28</v>
      </c>
      <c r="E72" s="49" t="s">
        <v>62</v>
      </c>
    </row>
    <row r="73" spans="1:7" s="49" customFormat="1" x14ac:dyDescent="0.2">
      <c r="A73" s="67" t="s">
        <v>99</v>
      </c>
      <c r="B73" s="48">
        <f>20.09</f>
        <v>20.09</v>
      </c>
      <c r="C73" s="49" t="s">
        <v>301</v>
      </c>
      <c r="D73" s="49" t="s">
        <v>35</v>
      </c>
      <c r="E73" s="49" t="s">
        <v>32</v>
      </c>
    </row>
    <row r="74" spans="1:7" s="83" customFormat="1" x14ac:dyDescent="0.2">
      <c r="A74" s="67" t="s">
        <v>57</v>
      </c>
      <c r="B74" s="82">
        <f>84.44</f>
        <v>84.44</v>
      </c>
      <c r="C74" s="83" t="s">
        <v>237</v>
      </c>
      <c r="D74" s="49" t="s">
        <v>42</v>
      </c>
      <c r="E74" s="83" t="s">
        <v>32</v>
      </c>
      <c r="G74" s="49"/>
    </row>
    <row r="75" spans="1:7" s="83" customFormat="1" x14ac:dyDescent="0.2">
      <c r="A75" s="67" t="s">
        <v>68</v>
      </c>
      <c r="B75" s="82">
        <f>34.4</f>
        <v>34.4</v>
      </c>
      <c r="C75" s="83" t="s">
        <v>237</v>
      </c>
      <c r="D75" s="49" t="s">
        <v>69</v>
      </c>
      <c r="E75" s="83" t="s">
        <v>32</v>
      </c>
      <c r="G75" s="49"/>
    </row>
    <row r="76" spans="1:7" s="83" customFormat="1" x14ac:dyDescent="0.2">
      <c r="A76" s="67" t="s">
        <v>68</v>
      </c>
      <c r="B76" s="82">
        <f>40.61</f>
        <v>40.61</v>
      </c>
      <c r="C76" s="49" t="s">
        <v>37</v>
      </c>
      <c r="D76" s="49" t="s">
        <v>35</v>
      </c>
      <c r="E76" s="49" t="s">
        <v>36</v>
      </c>
      <c r="F76" s="49"/>
      <c r="G76" s="49"/>
    </row>
    <row r="77" spans="1:7" s="83" customFormat="1" x14ac:dyDescent="0.2">
      <c r="A77" s="67" t="s">
        <v>100</v>
      </c>
      <c r="B77" s="82">
        <f>39.1</f>
        <v>39.1</v>
      </c>
      <c r="C77" s="49" t="s">
        <v>37</v>
      </c>
      <c r="D77" s="49" t="s">
        <v>35</v>
      </c>
      <c r="E77" s="49" t="s">
        <v>36</v>
      </c>
      <c r="F77" s="49"/>
      <c r="G77" s="49"/>
    </row>
    <row r="78" spans="1:7" s="83" customFormat="1" x14ac:dyDescent="0.2">
      <c r="A78" s="67" t="s">
        <v>72</v>
      </c>
      <c r="B78" s="82">
        <f>282.8</f>
        <v>282.8</v>
      </c>
      <c r="C78" s="83" t="s">
        <v>277</v>
      </c>
      <c r="D78" s="49" t="s">
        <v>69</v>
      </c>
      <c r="E78" s="83" t="s">
        <v>32</v>
      </c>
      <c r="G78" s="49"/>
    </row>
    <row r="79" spans="1:7" s="83" customFormat="1" x14ac:dyDescent="0.2">
      <c r="A79" s="67" t="s">
        <v>98</v>
      </c>
      <c r="B79" s="82">
        <f>20.95</f>
        <v>20.95</v>
      </c>
      <c r="C79" s="83" t="s">
        <v>302</v>
      </c>
      <c r="D79" s="49" t="s">
        <v>35</v>
      </c>
      <c r="E79" s="83" t="s">
        <v>32</v>
      </c>
      <c r="G79" s="49"/>
    </row>
    <row r="80" spans="1:7" s="83" customFormat="1" x14ac:dyDescent="0.2">
      <c r="A80" s="67" t="s">
        <v>73</v>
      </c>
      <c r="B80" s="82">
        <f>9+4+1.6</f>
        <v>14.6</v>
      </c>
      <c r="C80" s="83" t="s">
        <v>303</v>
      </c>
      <c r="D80" s="49" t="s">
        <v>66</v>
      </c>
      <c r="E80" s="83" t="s">
        <v>32</v>
      </c>
      <c r="G80" s="49"/>
    </row>
    <row r="81" spans="1:7" s="83" customFormat="1" x14ac:dyDescent="0.2">
      <c r="A81" s="85" t="s">
        <v>81</v>
      </c>
      <c r="B81" s="82">
        <f>524</f>
        <v>524</v>
      </c>
      <c r="C81" s="83" t="s">
        <v>304</v>
      </c>
      <c r="D81" s="83" t="s">
        <v>28</v>
      </c>
      <c r="E81" s="83" t="s">
        <v>82</v>
      </c>
      <c r="G81" s="49"/>
    </row>
    <row r="82" spans="1:7" s="83" customFormat="1" x14ac:dyDescent="0.2">
      <c r="A82" s="67" t="s">
        <v>81</v>
      </c>
      <c r="B82" s="82">
        <f>38.12</f>
        <v>38.119999999999997</v>
      </c>
      <c r="C82" s="49" t="s">
        <v>37</v>
      </c>
      <c r="D82" s="49" t="s">
        <v>35</v>
      </c>
      <c r="E82" s="83" t="s">
        <v>36</v>
      </c>
      <c r="G82" s="49"/>
    </row>
    <row r="83" spans="1:7" s="49" customFormat="1" ht="15.75" customHeight="1" x14ac:dyDescent="0.2">
      <c r="A83" s="67" t="s">
        <v>58</v>
      </c>
      <c r="B83" s="48">
        <f>309.93-206.62</f>
        <v>103.31</v>
      </c>
      <c r="C83" s="83" t="s">
        <v>305</v>
      </c>
      <c r="D83" s="49" t="s">
        <v>42</v>
      </c>
      <c r="E83" s="49" t="s">
        <v>32</v>
      </c>
    </row>
    <row r="84" spans="1:7" s="49" customFormat="1" x14ac:dyDescent="0.2">
      <c r="A84" s="67" t="s">
        <v>74</v>
      </c>
      <c r="B84" s="48">
        <f>339</f>
        <v>339</v>
      </c>
      <c r="C84" s="83" t="s">
        <v>236</v>
      </c>
      <c r="D84" s="49" t="s">
        <v>28</v>
      </c>
      <c r="E84" s="49" t="s">
        <v>29</v>
      </c>
    </row>
    <row r="85" spans="1:7" s="49" customFormat="1" x14ac:dyDescent="0.2">
      <c r="A85" s="67" t="s">
        <v>74</v>
      </c>
      <c r="B85" s="48">
        <f>41.7</f>
        <v>41.7</v>
      </c>
      <c r="C85" s="49" t="s">
        <v>37</v>
      </c>
      <c r="D85" s="49" t="s">
        <v>35</v>
      </c>
      <c r="E85" s="83" t="s">
        <v>36</v>
      </c>
      <c r="F85" s="83"/>
    </row>
    <row r="86" spans="1:7" s="83" customFormat="1" x14ac:dyDescent="0.2">
      <c r="A86" s="67" t="s">
        <v>105</v>
      </c>
      <c r="B86" s="82">
        <f>19.98</f>
        <v>19.98</v>
      </c>
      <c r="C86" s="83" t="s">
        <v>263</v>
      </c>
      <c r="D86" s="49" t="s">
        <v>35</v>
      </c>
      <c r="E86" s="83" t="s">
        <v>36</v>
      </c>
      <c r="G86" s="49"/>
    </row>
    <row r="87" spans="1:7" s="83" customFormat="1" x14ac:dyDescent="0.2">
      <c r="A87" s="67" t="s">
        <v>105</v>
      </c>
      <c r="B87" s="82">
        <f>38.66</f>
        <v>38.659999999999997</v>
      </c>
      <c r="C87" s="49" t="s">
        <v>37</v>
      </c>
      <c r="D87" s="49" t="s">
        <v>35</v>
      </c>
      <c r="E87" s="83" t="s">
        <v>36</v>
      </c>
      <c r="G87" s="49"/>
    </row>
    <row r="88" spans="1:7" s="83" customFormat="1" x14ac:dyDescent="0.2">
      <c r="A88" s="85" t="s">
        <v>96</v>
      </c>
      <c r="B88" s="82">
        <f>603</f>
        <v>603</v>
      </c>
      <c r="C88" s="83" t="s">
        <v>306</v>
      </c>
      <c r="D88" s="49" t="s">
        <v>28</v>
      </c>
      <c r="E88" s="83" t="s">
        <v>62</v>
      </c>
      <c r="G88" s="49"/>
    </row>
    <row r="89" spans="1:7" s="83" customFormat="1" x14ac:dyDescent="0.2">
      <c r="A89" s="67" t="s">
        <v>96</v>
      </c>
      <c r="B89" s="82">
        <f>70.7</f>
        <v>70.7</v>
      </c>
      <c r="C89" s="83" t="s">
        <v>306</v>
      </c>
      <c r="D89" s="49" t="s">
        <v>69</v>
      </c>
      <c r="E89" s="83" t="s">
        <v>32</v>
      </c>
      <c r="G89" s="49"/>
    </row>
    <row r="90" spans="1:7" s="83" customFormat="1" x14ac:dyDescent="0.2">
      <c r="A90" s="67" t="s">
        <v>97</v>
      </c>
      <c r="B90" s="82">
        <f>259.05</f>
        <v>259.05</v>
      </c>
      <c r="C90" s="83" t="s">
        <v>306</v>
      </c>
      <c r="D90" s="49" t="s">
        <v>42</v>
      </c>
      <c r="E90" s="83" t="s">
        <v>32</v>
      </c>
      <c r="G90" s="49"/>
    </row>
    <row r="91" spans="1:7" s="49" customFormat="1" x14ac:dyDescent="0.2">
      <c r="A91" s="85" t="s">
        <v>112</v>
      </c>
      <c r="B91" s="82">
        <f>603</f>
        <v>603</v>
      </c>
      <c r="C91" s="83" t="s">
        <v>307</v>
      </c>
      <c r="D91" s="83" t="s">
        <v>28</v>
      </c>
      <c r="E91" s="83" t="s">
        <v>82</v>
      </c>
    </row>
    <row r="92" spans="1:7" s="49" customFormat="1" x14ac:dyDescent="0.2">
      <c r="A92" s="67" t="s">
        <v>108</v>
      </c>
      <c r="B92" s="82">
        <f>40.5</f>
        <v>40.5</v>
      </c>
      <c r="C92" s="49" t="s">
        <v>240</v>
      </c>
      <c r="D92" s="49" t="s">
        <v>35</v>
      </c>
      <c r="E92" s="49" t="s">
        <v>36</v>
      </c>
    </row>
    <row r="93" spans="1:7" s="49" customFormat="1" x14ac:dyDescent="0.2">
      <c r="A93" s="67" t="s">
        <v>110</v>
      </c>
      <c r="B93" s="82">
        <f>15.44</f>
        <v>15.44</v>
      </c>
      <c r="C93" s="49" t="s">
        <v>253</v>
      </c>
      <c r="D93" s="49" t="s">
        <v>35</v>
      </c>
      <c r="E93" s="49" t="s">
        <v>36</v>
      </c>
    </row>
    <row r="94" spans="1:7" s="49" customFormat="1" x14ac:dyDescent="0.2">
      <c r="A94" s="67" t="s">
        <v>106</v>
      </c>
      <c r="B94" s="82">
        <f>40.28</f>
        <v>40.28</v>
      </c>
      <c r="C94" s="49" t="s">
        <v>240</v>
      </c>
      <c r="D94" s="49" t="s">
        <v>35</v>
      </c>
      <c r="E94" s="49" t="s">
        <v>36</v>
      </c>
    </row>
    <row r="95" spans="1:7" s="49" customFormat="1" x14ac:dyDescent="0.2">
      <c r="A95" s="85" t="s">
        <v>111</v>
      </c>
      <c r="B95" s="82">
        <f>370</f>
        <v>370</v>
      </c>
      <c r="C95" s="83" t="s">
        <v>308</v>
      </c>
      <c r="D95" s="49" t="s">
        <v>28</v>
      </c>
      <c r="E95" s="49" t="s">
        <v>64</v>
      </c>
    </row>
    <row r="96" spans="1:7" s="49" customFormat="1" x14ac:dyDescent="0.2">
      <c r="A96" s="67" t="s">
        <v>106</v>
      </c>
      <c r="B96" s="82">
        <f>61.67</f>
        <v>61.67</v>
      </c>
      <c r="C96" s="49" t="s">
        <v>241</v>
      </c>
      <c r="D96" s="49" t="s">
        <v>35</v>
      </c>
      <c r="E96" s="49" t="s">
        <v>107</v>
      </c>
    </row>
    <row r="97" spans="1:7" s="49" customFormat="1" x14ac:dyDescent="0.2">
      <c r="A97" s="67" t="s">
        <v>106</v>
      </c>
      <c r="B97" s="82">
        <f>177.45</f>
        <v>177.45</v>
      </c>
      <c r="C97" s="83" t="s">
        <v>308</v>
      </c>
      <c r="D97" s="49" t="s">
        <v>146</v>
      </c>
      <c r="E97" s="49" t="s">
        <v>107</v>
      </c>
    </row>
    <row r="98" spans="1:7" s="49" customFormat="1" x14ac:dyDescent="0.2">
      <c r="A98" s="67" t="s">
        <v>109</v>
      </c>
      <c r="B98" s="82">
        <f>12.2</f>
        <v>12.2</v>
      </c>
      <c r="C98" s="49" t="s">
        <v>241</v>
      </c>
      <c r="D98" s="49" t="s">
        <v>35</v>
      </c>
      <c r="E98" s="49" t="s">
        <v>107</v>
      </c>
    </row>
    <row r="99" spans="1:7" s="49" customFormat="1" x14ac:dyDescent="0.2">
      <c r="A99" s="67" t="s">
        <v>109</v>
      </c>
      <c r="B99" s="82">
        <f>47.84</f>
        <v>47.84</v>
      </c>
      <c r="C99" s="49" t="s">
        <v>240</v>
      </c>
      <c r="D99" s="49" t="s">
        <v>35</v>
      </c>
      <c r="E99" s="49" t="s">
        <v>36</v>
      </c>
    </row>
    <row r="100" spans="1:7" s="49" customFormat="1" x14ac:dyDescent="0.2">
      <c r="A100" s="67" t="s">
        <v>109</v>
      </c>
      <c r="B100" s="82">
        <f>37.91</f>
        <v>37.909999999999997</v>
      </c>
      <c r="C100" s="49" t="s">
        <v>240</v>
      </c>
      <c r="D100" s="49" t="s">
        <v>35</v>
      </c>
      <c r="E100" s="49" t="s">
        <v>36</v>
      </c>
    </row>
    <row r="101" spans="1:7" s="49" customFormat="1" x14ac:dyDescent="0.2">
      <c r="A101" s="67" t="s">
        <v>101</v>
      </c>
      <c r="B101" s="82">
        <f>259.87-86.62</f>
        <v>173.25</v>
      </c>
      <c r="C101" s="83" t="s">
        <v>235</v>
      </c>
      <c r="D101" s="49" t="s">
        <v>42</v>
      </c>
      <c r="E101" s="49" t="s">
        <v>32</v>
      </c>
    </row>
    <row r="102" spans="1:7" s="49" customFormat="1" x14ac:dyDescent="0.2">
      <c r="A102" s="67" t="s">
        <v>104</v>
      </c>
      <c r="B102" s="82">
        <f>141.4</f>
        <v>141.4</v>
      </c>
      <c r="C102" s="83" t="s">
        <v>235</v>
      </c>
      <c r="D102" s="49" t="s">
        <v>69</v>
      </c>
      <c r="E102" s="83" t="s">
        <v>32</v>
      </c>
      <c r="F102" s="83"/>
    </row>
    <row r="103" spans="1:7" s="83" customFormat="1" x14ac:dyDescent="0.2">
      <c r="A103" s="67" t="s">
        <v>102</v>
      </c>
      <c r="B103" s="82">
        <f>140.84</f>
        <v>140.84</v>
      </c>
      <c r="C103" s="83" t="s">
        <v>234</v>
      </c>
      <c r="D103" s="49" t="s">
        <v>42</v>
      </c>
      <c r="E103" s="49" t="s">
        <v>32</v>
      </c>
      <c r="F103" s="49"/>
      <c r="G103" s="49"/>
    </row>
    <row r="104" spans="1:7" s="49" customFormat="1" x14ac:dyDescent="0.2">
      <c r="A104" s="85" t="s">
        <v>118</v>
      </c>
      <c r="B104" s="82">
        <f>264.01+185+264.01</f>
        <v>713.02</v>
      </c>
      <c r="C104" s="49" t="s">
        <v>117</v>
      </c>
      <c r="D104" s="49" t="s">
        <v>28</v>
      </c>
      <c r="E104" s="83" t="s">
        <v>29</v>
      </c>
      <c r="F104" s="83"/>
    </row>
    <row r="105" spans="1:7" s="83" customFormat="1" x14ac:dyDescent="0.2">
      <c r="A105" s="67" t="s">
        <v>118</v>
      </c>
      <c r="B105" s="82">
        <f>46.33</f>
        <v>46.33</v>
      </c>
      <c r="C105" s="49" t="s">
        <v>240</v>
      </c>
      <c r="D105" s="49" t="s">
        <v>35</v>
      </c>
      <c r="E105" s="49" t="s">
        <v>36</v>
      </c>
      <c r="F105" s="49"/>
      <c r="G105" s="49"/>
    </row>
    <row r="106" spans="1:7" s="83" customFormat="1" ht="14.25" customHeight="1" x14ac:dyDescent="0.2">
      <c r="A106" s="67" t="s">
        <v>113</v>
      </c>
      <c r="B106" s="82">
        <f>448.99-449+339+264-264</f>
        <v>338.99</v>
      </c>
      <c r="C106" s="83" t="s">
        <v>254</v>
      </c>
      <c r="D106" s="49" t="s">
        <v>28</v>
      </c>
      <c r="E106" s="83" t="s">
        <v>62</v>
      </c>
      <c r="G106" s="49"/>
    </row>
    <row r="107" spans="1:7" s="83" customFormat="1" ht="29.25" customHeight="1" x14ac:dyDescent="0.2">
      <c r="A107" s="67" t="s">
        <v>233</v>
      </c>
      <c r="B107" s="82">
        <f>524-185+339-339</f>
        <v>339</v>
      </c>
      <c r="C107" s="83" t="s">
        <v>309</v>
      </c>
      <c r="D107" s="49" t="s">
        <v>28</v>
      </c>
      <c r="E107" s="83" t="s">
        <v>78</v>
      </c>
      <c r="G107" s="49"/>
    </row>
    <row r="108" spans="1:7" s="83" customFormat="1" ht="25.5" x14ac:dyDescent="0.2">
      <c r="A108" s="67" t="s">
        <v>125</v>
      </c>
      <c r="B108" s="82">
        <f>163.54</f>
        <v>163.54</v>
      </c>
      <c r="C108" s="83" t="s">
        <v>309</v>
      </c>
      <c r="D108" s="49" t="s">
        <v>42</v>
      </c>
      <c r="E108" s="83" t="s">
        <v>32</v>
      </c>
      <c r="G108" s="49"/>
    </row>
    <row r="109" spans="1:7" s="83" customFormat="1" ht="25.5" x14ac:dyDescent="0.2">
      <c r="A109" s="67" t="s">
        <v>125</v>
      </c>
      <c r="B109" s="82">
        <f>141.4</f>
        <v>141.4</v>
      </c>
      <c r="C109" s="83" t="s">
        <v>309</v>
      </c>
      <c r="D109" s="49" t="s">
        <v>69</v>
      </c>
      <c r="E109" s="83" t="s">
        <v>32</v>
      </c>
      <c r="G109" s="49"/>
    </row>
    <row r="110" spans="1:7" s="83" customFormat="1" ht="25.5" x14ac:dyDescent="0.2">
      <c r="A110" s="67" t="s">
        <v>119</v>
      </c>
      <c r="B110" s="82">
        <f>301+5</f>
        <v>306</v>
      </c>
      <c r="C110" s="83" t="s">
        <v>310</v>
      </c>
      <c r="D110" s="49" t="s">
        <v>28</v>
      </c>
      <c r="E110" s="83" t="s">
        <v>132</v>
      </c>
      <c r="G110" s="49"/>
    </row>
    <row r="111" spans="1:7" s="83" customFormat="1" x14ac:dyDescent="0.2">
      <c r="A111" s="67" t="s">
        <v>119</v>
      </c>
      <c r="B111" s="82">
        <f>35.42</f>
        <v>35.42</v>
      </c>
      <c r="C111" s="49" t="s">
        <v>242</v>
      </c>
      <c r="D111" s="49" t="s">
        <v>35</v>
      </c>
      <c r="E111" s="83" t="s">
        <v>36</v>
      </c>
      <c r="G111" s="49"/>
    </row>
    <row r="112" spans="1:7" s="83" customFormat="1" x14ac:dyDescent="0.2">
      <c r="A112" s="67" t="s">
        <v>120</v>
      </c>
      <c r="B112" s="82">
        <f>34.13</f>
        <v>34.130000000000003</v>
      </c>
      <c r="C112" s="49" t="s">
        <v>242</v>
      </c>
      <c r="D112" s="49" t="s">
        <v>35</v>
      </c>
      <c r="E112" s="83" t="s">
        <v>36</v>
      </c>
      <c r="G112" s="49"/>
    </row>
    <row r="113" spans="1:7" s="83" customFormat="1" ht="25.5" x14ac:dyDescent="0.2">
      <c r="A113" s="67" t="s">
        <v>133</v>
      </c>
      <c r="B113" s="82">
        <f>603</f>
        <v>603</v>
      </c>
      <c r="C113" s="83" t="s">
        <v>311</v>
      </c>
      <c r="D113" s="49" t="s">
        <v>28</v>
      </c>
      <c r="E113" s="83" t="s">
        <v>62</v>
      </c>
      <c r="G113" s="49"/>
    </row>
    <row r="114" spans="1:7" s="83" customFormat="1" x14ac:dyDescent="0.2">
      <c r="A114" s="67" t="s">
        <v>120</v>
      </c>
      <c r="B114" s="82">
        <f>93.31</f>
        <v>93.31</v>
      </c>
      <c r="C114" s="49" t="s">
        <v>243</v>
      </c>
      <c r="D114" s="49" t="s">
        <v>35</v>
      </c>
      <c r="E114" s="83" t="s">
        <v>32</v>
      </c>
      <c r="G114" s="49"/>
    </row>
    <row r="115" spans="1:7" s="83" customFormat="1" ht="14.25" customHeight="1" x14ac:dyDescent="0.2">
      <c r="A115" s="67" t="s">
        <v>120</v>
      </c>
      <c r="B115" s="82">
        <f>27</f>
        <v>27</v>
      </c>
      <c r="C115" s="49" t="s">
        <v>312</v>
      </c>
      <c r="D115" s="49" t="s">
        <v>35</v>
      </c>
      <c r="E115" s="83" t="s">
        <v>32</v>
      </c>
      <c r="G115" s="49"/>
    </row>
    <row r="116" spans="1:7" s="83" customFormat="1" x14ac:dyDescent="0.2">
      <c r="A116" s="67" t="s">
        <v>120</v>
      </c>
      <c r="B116" s="82">
        <f>15.34</f>
        <v>15.34</v>
      </c>
      <c r="C116" s="49" t="s">
        <v>232</v>
      </c>
      <c r="D116" s="49" t="s">
        <v>35</v>
      </c>
      <c r="E116" s="83" t="s">
        <v>32</v>
      </c>
      <c r="G116" s="49"/>
    </row>
    <row r="117" spans="1:7" s="83" customFormat="1" x14ac:dyDescent="0.2">
      <c r="A117" s="67" t="s">
        <v>120</v>
      </c>
      <c r="B117" s="82">
        <f>33.7</f>
        <v>33.700000000000003</v>
      </c>
      <c r="C117" s="49" t="s">
        <v>313</v>
      </c>
      <c r="D117" s="49" t="s">
        <v>35</v>
      </c>
      <c r="E117" s="83" t="s">
        <v>32</v>
      </c>
      <c r="G117" s="49"/>
    </row>
    <row r="118" spans="1:7" s="83" customFormat="1" x14ac:dyDescent="0.2">
      <c r="A118" s="67" t="s">
        <v>120</v>
      </c>
      <c r="B118" s="82">
        <f>70.7</f>
        <v>70.7</v>
      </c>
      <c r="C118" s="49" t="s">
        <v>232</v>
      </c>
      <c r="D118" s="49" t="s">
        <v>69</v>
      </c>
      <c r="E118" s="83" t="s">
        <v>32</v>
      </c>
      <c r="G118" s="49"/>
    </row>
    <row r="119" spans="1:7" s="83" customFormat="1" x14ac:dyDescent="0.2">
      <c r="A119" s="67" t="s">
        <v>121</v>
      </c>
      <c r="B119" s="82">
        <f>83.38</f>
        <v>83.38</v>
      </c>
      <c r="C119" s="49" t="s">
        <v>243</v>
      </c>
      <c r="D119" s="49" t="s">
        <v>35</v>
      </c>
      <c r="E119" s="83" t="s">
        <v>32</v>
      </c>
      <c r="G119" s="49"/>
    </row>
    <row r="120" spans="1:7" s="83" customFormat="1" x14ac:dyDescent="0.2">
      <c r="A120" s="67" t="s">
        <v>121</v>
      </c>
      <c r="B120" s="82">
        <f>46.55</f>
        <v>46.55</v>
      </c>
      <c r="C120" s="49" t="s">
        <v>242</v>
      </c>
      <c r="D120" s="49" t="s">
        <v>35</v>
      </c>
      <c r="E120" s="83" t="s">
        <v>36</v>
      </c>
      <c r="G120" s="49"/>
    </row>
    <row r="121" spans="1:7" s="83" customFormat="1" x14ac:dyDescent="0.2">
      <c r="A121" s="67" t="s">
        <v>122</v>
      </c>
      <c r="B121" s="82">
        <f>34.13</f>
        <v>34.130000000000003</v>
      </c>
      <c r="C121" s="49" t="s">
        <v>242</v>
      </c>
      <c r="D121" s="49" t="s">
        <v>35</v>
      </c>
      <c r="E121" s="83" t="s">
        <v>36</v>
      </c>
      <c r="G121" s="49"/>
    </row>
    <row r="122" spans="1:7" s="83" customFormat="1" ht="15" customHeight="1" x14ac:dyDescent="0.2">
      <c r="A122" s="67" t="s">
        <v>122</v>
      </c>
      <c r="B122" s="82">
        <f>264</f>
        <v>264</v>
      </c>
      <c r="C122" s="83" t="s">
        <v>314</v>
      </c>
      <c r="D122" s="49" t="s">
        <v>28</v>
      </c>
      <c r="E122" s="83" t="s">
        <v>62</v>
      </c>
      <c r="G122" s="49"/>
    </row>
    <row r="123" spans="1:7" s="83" customFormat="1" x14ac:dyDescent="0.2">
      <c r="A123" s="67" t="s">
        <v>124</v>
      </c>
      <c r="B123" s="82">
        <f>225.83</f>
        <v>225.83</v>
      </c>
      <c r="C123" s="49" t="s">
        <v>231</v>
      </c>
      <c r="D123" s="49" t="s">
        <v>42</v>
      </c>
      <c r="E123" s="83" t="s">
        <v>32</v>
      </c>
      <c r="G123" s="49"/>
    </row>
    <row r="124" spans="1:7" s="83" customFormat="1" x14ac:dyDescent="0.2">
      <c r="A124" s="67" t="s">
        <v>131</v>
      </c>
      <c r="B124" s="82">
        <f>227</f>
        <v>227</v>
      </c>
      <c r="C124" s="83" t="s">
        <v>315</v>
      </c>
      <c r="D124" s="49" t="s">
        <v>28</v>
      </c>
      <c r="E124" s="83" t="s">
        <v>132</v>
      </c>
      <c r="G124" s="49"/>
    </row>
    <row r="125" spans="1:7" s="83" customFormat="1" x14ac:dyDescent="0.2">
      <c r="A125" s="67" t="s">
        <v>123</v>
      </c>
      <c r="B125" s="82">
        <f>8.42</f>
        <v>8.42</v>
      </c>
      <c r="C125" s="49" t="s">
        <v>244</v>
      </c>
      <c r="D125" s="49" t="s">
        <v>35</v>
      </c>
      <c r="E125" s="83" t="s">
        <v>36</v>
      </c>
      <c r="G125" s="49"/>
    </row>
    <row r="126" spans="1:7" s="83" customFormat="1" x14ac:dyDescent="0.2">
      <c r="A126" s="67" t="s">
        <v>135</v>
      </c>
      <c r="B126" s="82">
        <f>301</f>
        <v>301</v>
      </c>
      <c r="C126" s="83" t="s">
        <v>316</v>
      </c>
      <c r="D126" s="49" t="s">
        <v>28</v>
      </c>
      <c r="E126" s="83" t="s">
        <v>29</v>
      </c>
      <c r="G126" s="49"/>
    </row>
    <row r="127" spans="1:7" s="83" customFormat="1" x14ac:dyDescent="0.2">
      <c r="A127" s="67" t="s">
        <v>126</v>
      </c>
      <c r="B127" s="82">
        <f>7.99</f>
        <v>7.99</v>
      </c>
      <c r="C127" s="83" t="s">
        <v>264</v>
      </c>
      <c r="D127" s="49" t="s">
        <v>35</v>
      </c>
      <c r="E127" s="83" t="s">
        <v>36</v>
      </c>
      <c r="G127" s="49"/>
    </row>
    <row r="128" spans="1:7" s="83" customFormat="1" x14ac:dyDescent="0.2">
      <c r="A128" s="67" t="s">
        <v>127</v>
      </c>
      <c r="B128" s="82">
        <f>9.94</f>
        <v>9.94</v>
      </c>
      <c r="C128" s="83" t="s">
        <v>255</v>
      </c>
      <c r="D128" s="49" t="s">
        <v>35</v>
      </c>
      <c r="E128" s="83" t="s">
        <v>36</v>
      </c>
      <c r="G128" s="49"/>
    </row>
    <row r="129" spans="1:7" s="83" customFormat="1" ht="15.75" customHeight="1" x14ac:dyDescent="0.2">
      <c r="A129" s="67" t="s">
        <v>127</v>
      </c>
      <c r="B129" s="82">
        <f>40.28</f>
        <v>40.28</v>
      </c>
      <c r="C129" s="83" t="s">
        <v>317</v>
      </c>
      <c r="D129" s="49" t="s">
        <v>35</v>
      </c>
      <c r="E129" s="83" t="s">
        <v>36</v>
      </c>
      <c r="G129" s="49"/>
    </row>
    <row r="130" spans="1:7" s="83" customFormat="1" x14ac:dyDescent="0.2">
      <c r="A130" s="67" t="s">
        <v>128</v>
      </c>
      <c r="B130" s="82">
        <f>22.14</f>
        <v>22.14</v>
      </c>
      <c r="C130" s="83" t="s">
        <v>251</v>
      </c>
      <c r="D130" s="49" t="s">
        <v>35</v>
      </c>
      <c r="E130" s="83" t="s">
        <v>36</v>
      </c>
      <c r="G130" s="49"/>
    </row>
    <row r="131" spans="1:7" s="83" customFormat="1" x14ac:dyDescent="0.2">
      <c r="A131" s="67" t="s">
        <v>129</v>
      </c>
      <c r="B131" s="82">
        <f>39.1</f>
        <v>39.1</v>
      </c>
      <c r="C131" s="83" t="s">
        <v>37</v>
      </c>
      <c r="D131" s="49" t="s">
        <v>35</v>
      </c>
      <c r="E131" s="83" t="s">
        <v>36</v>
      </c>
      <c r="G131" s="49"/>
    </row>
    <row r="132" spans="1:7" s="83" customFormat="1" ht="29.25" customHeight="1" x14ac:dyDescent="0.2">
      <c r="A132" s="67" t="s">
        <v>130</v>
      </c>
      <c r="B132" s="82">
        <f>20+681+5+5</f>
        <v>711</v>
      </c>
      <c r="C132" s="83" t="s">
        <v>318</v>
      </c>
      <c r="D132" s="49" t="s">
        <v>28</v>
      </c>
      <c r="E132" s="83" t="s">
        <v>319</v>
      </c>
      <c r="G132" s="49"/>
    </row>
    <row r="133" spans="1:7" s="83" customFormat="1" ht="16.5" customHeight="1" x14ac:dyDescent="0.2">
      <c r="A133" s="67" t="s">
        <v>130</v>
      </c>
      <c r="B133" s="82">
        <f>244.88</f>
        <v>244.88</v>
      </c>
      <c r="C133" s="83" t="s">
        <v>151</v>
      </c>
      <c r="D133" s="49" t="s">
        <v>42</v>
      </c>
      <c r="E133" s="83" t="s">
        <v>32</v>
      </c>
      <c r="G133" s="49"/>
    </row>
    <row r="134" spans="1:7" s="83" customFormat="1" x14ac:dyDescent="0.2">
      <c r="A134" s="67" t="s">
        <v>144</v>
      </c>
      <c r="B134" s="82">
        <f>40.28</f>
        <v>40.28</v>
      </c>
      <c r="C134" s="83" t="s">
        <v>37</v>
      </c>
      <c r="D134" s="49" t="s">
        <v>35</v>
      </c>
      <c r="E134" s="83" t="s">
        <v>36</v>
      </c>
      <c r="G134" s="49"/>
    </row>
    <row r="135" spans="1:7" s="83" customFormat="1" x14ac:dyDescent="0.2">
      <c r="A135" s="67" t="s">
        <v>143</v>
      </c>
      <c r="B135" s="82">
        <f>12.96</f>
        <v>12.96</v>
      </c>
      <c r="C135" s="83" t="s">
        <v>149</v>
      </c>
      <c r="D135" s="49" t="s">
        <v>35</v>
      </c>
      <c r="E135" s="83" t="s">
        <v>36</v>
      </c>
      <c r="G135" s="49"/>
    </row>
    <row r="136" spans="1:7" s="83" customFormat="1" x14ac:dyDescent="0.2">
      <c r="A136" s="67" t="s">
        <v>143</v>
      </c>
      <c r="B136" s="82">
        <f>21.38</f>
        <v>21.38</v>
      </c>
      <c r="C136" s="83" t="s">
        <v>149</v>
      </c>
      <c r="D136" s="49" t="s">
        <v>35</v>
      </c>
      <c r="E136" s="83" t="s">
        <v>36</v>
      </c>
      <c r="G136" s="49"/>
    </row>
    <row r="137" spans="1:7" s="83" customFormat="1" x14ac:dyDescent="0.2">
      <c r="A137" s="67" t="s">
        <v>141</v>
      </c>
      <c r="B137" s="82">
        <f>8.53</f>
        <v>8.5299999999999994</v>
      </c>
      <c r="C137" s="83" t="s">
        <v>222</v>
      </c>
      <c r="D137" s="49" t="s">
        <v>35</v>
      </c>
      <c r="E137" s="83" t="s">
        <v>36</v>
      </c>
      <c r="G137" s="49"/>
    </row>
    <row r="138" spans="1:7" s="83" customFormat="1" x14ac:dyDescent="0.2">
      <c r="A138" s="67" t="s">
        <v>141</v>
      </c>
      <c r="B138" s="82">
        <f>10.26</f>
        <v>10.26</v>
      </c>
      <c r="C138" s="83" t="s">
        <v>320</v>
      </c>
      <c r="D138" s="49" t="s">
        <v>35</v>
      </c>
      <c r="E138" s="83" t="s">
        <v>36</v>
      </c>
      <c r="G138" s="49"/>
    </row>
    <row r="139" spans="1:7" s="83" customFormat="1" x14ac:dyDescent="0.2">
      <c r="A139" s="67" t="s">
        <v>141</v>
      </c>
      <c r="B139" s="82">
        <f>32.3</f>
        <v>32.299999999999997</v>
      </c>
      <c r="C139" s="83" t="s">
        <v>256</v>
      </c>
      <c r="D139" s="49" t="s">
        <v>35</v>
      </c>
      <c r="E139" s="83" t="s">
        <v>36</v>
      </c>
      <c r="G139" s="49"/>
    </row>
    <row r="140" spans="1:7" s="83" customFormat="1" x14ac:dyDescent="0.2">
      <c r="A140" s="67" t="s">
        <v>141</v>
      </c>
      <c r="B140" s="82">
        <f>16.85</f>
        <v>16.850000000000001</v>
      </c>
      <c r="C140" s="83" t="s">
        <v>263</v>
      </c>
      <c r="D140" s="49" t="s">
        <v>35</v>
      </c>
      <c r="E140" s="83" t="s">
        <v>36</v>
      </c>
      <c r="G140" s="49"/>
    </row>
    <row r="141" spans="1:7" s="83" customFormat="1" x14ac:dyDescent="0.2">
      <c r="A141" s="67" t="s">
        <v>142</v>
      </c>
      <c r="B141" s="82">
        <f>7.56</f>
        <v>7.56</v>
      </c>
      <c r="C141" s="83" t="s">
        <v>150</v>
      </c>
      <c r="D141" s="49" t="s">
        <v>35</v>
      </c>
      <c r="E141" s="83" t="s">
        <v>36</v>
      </c>
      <c r="G141" s="49"/>
    </row>
    <row r="142" spans="1:7" s="83" customFormat="1" x14ac:dyDescent="0.2">
      <c r="A142" s="67" t="s">
        <v>142</v>
      </c>
      <c r="B142" s="82">
        <f>37.26</f>
        <v>37.26</v>
      </c>
      <c r="C142" s="83" t="s">
        <v>37</v>
      </c>
      <c r="D142" s="49" t="s">
        <v>35</v>
      </c>
      <c r="E142" s="83" t="s">
        <v>36</v>
      </c>
      <c r="G142" s="49"/>
    </row>
    <row r="143" spans="1:7" s="83" customFormat="1" ht="25.5" x14ac:dyDescent="0.2">
      <c r="A143" s="67" t="s">
        <v>134</v>
      </c>
      <c r="B143" s="82">
        <f>412+185</f>
        <v>597</v>
      </c>
      <c r="C143" s="83" t="s">
        <v>321</v>
      </c>
      <c r="D143" s="49" t="s">
        <v>28</v>
      </c>
      <c r="E143" s="83" t="s">
        <v>62</v>
      </c>
      <c r="G143" s="49"/>
    </row>
    <row r="144" spans="1:7" s="83" customFormat="1" ht="25.5" x14ac:dyDescent="0.2">
      <c r="A144" s="67" t="s">
        <v>134</v>
      </c>
      <c r="B144" s="82">
        <f>82.9</f>
        <v>82.9</v>
      </c>
      <c r="C144" s="83" t="s">
        <v>321</v>
      </c>
      <c r="D144" s="49" t="s">
        <v>42</v>
      </c>
      <c r="E144" s="83" t="s">
        <v>32</v>
      </c>
      <c r="G144" s="49"/>
    </row>
    <row r="145" spans="1:7" s="83" customFormat="1" x14ac:dyDescent="0.2">
      <c r="A145" s="85" t="s">
        <v>136</v>
      </c>
      <c r="B145" s="82">
        <f>30.35</f>
        <v>30.35</v>
      </c>
      <c r="C145" s="83" t="s">
        <v>256</v>
      </c>
      <c r="D145" s="83" t="s">
        <v>35</v>
      </c>
      <c r="E145" s="83" t="s">
        <v>36</v>
      </c>
    </row>
    <row r="146" spans="1:7" s="83" customFormat="1" ht="14.25" customHeight="1" x14ac:dyDescent="0.2">
      <c r="A146" s="67" t="s">
        <v>219</v>
      </c>
      <c r="B146" s="82">
        <f>426+5+5</f>
        <v>436</v>
      </c>
      <c r="C146" s="83" t="s">
        <v>230</v>
      </c>
      <c r="D146" s="49" t="s">
        <v>28</v>
      </c>
      <c r="E146" s="83" t="s">
        <v>148</v>
      </c>
      <c r="G146" s="49"/>
    </row>
    <row r="147" spans="1:7" s="83" customFormat="1" x14ac:dyDescent="0.2">
      <c r="A147" s="67" t="s">
        <v>145</v>
      </c>
      <c r="B147" s="82">
        <f>186.9-18</f>
        <v>168.9</v>
      </c>
      <c r="C147" s="83" t="s">
        <v>230</v>
      </c>
      <c r="D147" s="49" t="s">
        <v>146</v>
      </c>
      <c r="E147" s="83" t="s">
        <v>147</v>
      </c>
      <c r="G147" s="49"/>
    </row>
    <row r="148" spans="1:7" s="83" customFormat="1" x14ac:dyDescent="0.2">
      <c r="A148" s="67" t="s">
        <v>219</v>
      </c>
      <c r="B148" s="82">
        <f>53</f>
        <v>53</v>
      </c>
      <c r="C148" s="83" t="s">
        <v>230</v>
      </c>
      <c r="D148" s="49" t="s">
        <v>69</v>
      </c>
      <c r="E148" s="83" t="s">
        <v>147</v>
      </c>
      <c r="G148" s="49"/>
    </row>
    <row r="149" spans="1:7" s="83" customFormat="1" x14ac:dyDescent="0.2">
      <c r="A149" s="67" t="s">
        <v>139</v>
      </c>
      <c r="B149" s="82">
        <f>10.8</f>
        <v>10.8</v>
      </c>
      <c r="C149" s="83" t="s">
        <v>281</v>
      </c>
      <c r="D149" s="49" t="s">
        <v>35</v>
      </c>
      <c r="E149" s="83" t="s">
        <v>36</v>
      </c>
      <c r="G149" s="49"/>
    </row>
    <row r="150" spans="1:7" s="83" customFormat="1" x14ac:dyDescent="0.2">
      <c r="A150" s="67" t="s">
        <v>139</v>
      </c>
      <c r="B150" s="82">
        <f>9.5</f>
        <v>9.5</v>
      </c>
      <c r="C150" s="83" t="s">
        <v>281</v>
      </c>
      <c r="D150" s="49" t="s">
        <v>35</v>
      </c>
      <c r="E150" s="83" t="s">
        <v>36</v>
      </c>
      <c r="G150" s="49"/>
    </row>
    <row r="151" spans="1:7" s="83" customFormat="1" x14ac:dyDescent="0.2">
      <c r="A151" s="85" t="s">
        <v>140</v>
      </c>
      <c r="B151" s="82">
        <f>10.26</f>
        <v>10.26</v>
      </c>
      <c r="C151" s="83" t="s">
        <v>256</v>
      </c>
      <c r="D151" s="83" t="s">
        <v>35</v>
      </c>
      <c r="E151" s="83" t="s">
        <v>36</v>
      </c>
    </row>
    <row r="152" spans="1:7" s="83" customFormat="1" x14ac:dyDescent="0.2">
      <c r="A152" s="85" t="s">
        <v>163</v>
      </c>
      <c r="B152" s="82">
        <f>46.87</f>
        <v>46.87</v>
      </c>
      <c r="C152" s="83" t="s">
        <v>257</v>
      </c>
      <c r="D152" s="83" t="s">
        <v>35</v>
      </c>
      <c r="E152" s="83" t="s">
        <v>36</v>
      </c>
    </row>
    <row r="153" spans="1:7" s="83" customFormat="1" ht="12.75" customHeight="1" x14ac:dyDescent="0.2">
      <c r="A153" s="67" t="s">
        <v>229</v>
      </c>
      <c r="B153" s="82">
        <f>449</f>
        <v>449</v>
      </c>
      <c r="C153" s="83" t="s">
        <v>228</v>
      </c>
      <c r="D153" s="49" t="s">
        <v>28</v>
      </c>
      <c r="E153" s="83" t="s">
        <v>62</v>
      </c>
      <c r="G153" s="49"/>
    </row>
    <row r="154" spans="1:7" s="83" customFormat="1" x14ac:dyDescent="0.2">
      <c r="A154" s="67" t="s">
        <v>163</v>
      </c>
      <c r="B154" s="82">
        <f>104.11</f>
        <v>104.11</v>
      </c>
      <c r="C154" s="83" t="s">
        <v>245</v>
      </c>
      <c r="D154" s="49" t="s">
        <v>35</v>
      </c>
      <c r="E154" s="83" t="s">
        <v>32</v>
      </c>
      <c r="G154" s="49"/>
    </row>
    <row r="155" spans="1:7" s="83" customFormat="1" x14ac:dyDescent="0.2">
      <c r="A155" s="67" t="s">
        <v>153</v>
      </c>
      <c r="B155" s="82">
        <f>46.22</f>
        <v>46.22</v>
      </c>
      <c r="C155" s="83" t="s">
        <v>322</v>
      </c>
      <c r="D155" s="49" t="s">
        <v>35</v>
      </c>
      <c r="E155" s="83" t="s">
        <v>32</v>
      </c>
      <c r="G155" s="49"/>
    </row>
    <row r="156" spans="1:7" s="83" customFormat="1" x14ac:dyDescent="0.2">
      <c r="A156" s="67" t="s">
        <v>153</v>
      </c>
      <c r="B156" s="82">
        <f>10.8</f>
        <v>10.8</v>
      </c>
      <c r="C156" s="83" t="s">
        <v>258</v>
      </c>
      <c r="D156" s="49" t="s">
        <v>35</v>
      </c>
      <c r="E156" s="83" t="s">
        <v>32</v>
      </c>
      <c r="G156" s="49"/>
    </row>
    <row r="157" spans="1:7" s="83" customFormat="1" x14ac:dyDescent="0.2">
      <c r="A157" s="67" t="s">
        <v>153</v>
      </c>
      <c r="B157" s="82">
        <f>21.6</f>
        <v>21.6</v>
      </c>
      <c r="C157" s="83" t="s">
        <v>323</v>
      </c>
      <c r="D157" s="49" t="s">
        <v>35</v>
      </c>
      <c r="E157" s="83" t="s">
        <v>32</v>
      </c>
      <c r="G157" s="49"/>
    </row>
    <row r="158" spans="1:7" s="83" customFormat="1" x14ac:dyDescent="0.2">
      <c r="A158" s="67" t="s">
        <v>157</v>
      </c>
      <c r="B158" s="82">
        <f>40.39</f>
        <v>40.39</v>
      </c>
      <c r="C158" s="83" t="s">
        <v>240</v>
      </c>
      <c r="D158" s="49" t="s">
        <v>35</v>
      </c>
      <c r="E158" s="83" t="s">
        <v>36</v>
      </c>
      <c r="G158" s="49"/>
    </row>
    <row r="159" spans="1:7" s="83" customFormat="1" x14ac:dyDescent="0.2">
      <c r="A159" s="67" t="s">
        <v>157</v>
      </c>
      <c r="B159" s="82">
        <f>8.96</f>
        <v>8.9600000000000009</v>
      </c>
      <c r="C159" s="83" t="s">
        <v>256</v>
      </c>
      <c r="D159" s="49" t="s">
        <v>35</v>
      </c>
      <c r="E159" s="83" t="s">
        <v>36</v>
      </c>
      <c r="G159" s="49"/>
    </row>
    <row r="160" spans="1:7" s="83" customFormat="1" x14ac:dyDescent="0.2">
      <c r="A160" s="67" t="s">
        <v>158</v>
      </c>
      <c r="B160" s="82">
        <f>32.51</f>
        <v>32.51</v>
      </c>
      <c r="C160" s="83" t="s">
        <v>240</v>
      </c>
      <c r="D160" s="49" t="s">
        <v>35</v>
      </c>
      <c r="E160" s="83" t="s">
        <v>36</v>
      </c>
      <c r="G160" s="49"/>
    </row>
    <row r="161" spans="1:7" s="83" customFormat="1" x14ac:dyDescent="0.2">
      <c r="A161" s="67" t="s">
        <v>158</v>
      </c>
      <c r="B161" s="82">
        <f>91.15</f>
        <v>91.15</v>
      </c>
      <c r="C161" s="83" t="s">
        <v>245</v>
      </c>
      <c r="D161" s="49" t="s">
        <v>35</v>
      </c>
      <c r="E161" s="83" t="s">
        <v>32</v>
      </c>
      <c r="G161" s="49"/>
    </row>
    <row r="162" spans="1:7" s="83" customFormat="1" x14ac:dyDescent="0.2">
      <c r="A162" s="67" t="s">
        <v>158</v>
      </c>
      <c r="B162" s="82">
        <f>84.89</f>
        <v>84.89</v>
      </c>
      <c r="C162" s="83" t="s">
        <v>245</v>
      </c>
      <c r="D162" s="49" t="s">
        <v>35</v>
      </c>
      <c r="E162" s="83" t="s">
        <v>32</v>
      </c>
      <c r="G162" s="49"/>
    </row>
    <row r="163" spans="1:7" s="83" customFormat="1" x14ac:dyDescent="0.2">
      <c r="A163" s="67" t="s">
        <v>158</v>
      </c>
      <c r="B163" s="82">
        <f>50.76</f>
        <v>50.76</v>
      </c>
      <c r="C163" s="83" t="s">
        <v>240</v>
      </c>
      <c r="D163" s="49" t="s">
        <v>35</v>
      </c>
      <c r="E163" s="83" t="s">
        <v>36</v>
      </c>
      <c r="G163" s="49"/>
    </row>
    <row r="164" spans="1:7" s="83" customFormat="1" x14ac:dyDescent="0.2">
      <c r="A164" s="67" t="s">
        <v>161</v>
      </c>
      <c r="B164" s="82">
        <f>33.26</f>
        <v>33.26</v>
      </c>
      <c r="C164" s="83" t="s">
        <v>240</v>
      </c>
      <c r="D164" s="49" t="s">
        <v>35</v>
      </c>
      <c r="E164" s="83" t="s">
        <v>36</v>
      </c>
      <c r="G164" s="49"/>
    </row>
    <row r="165" spans="1:7" s="83" customFormat="1" x14ac:dyDescent="0.2">
      <c r="A165" s="67" t="s">
        <v>161</v>
      </c>
      <c r="B165" s="82">
        <f>227</f>
        <v>227</v>
      </c>
      <c r="C165" s="83" t="s">
        <v>224</v>
      </c>
      <c r="D165" s="49" t="s">
        <v>28</v>
      </c>
      <c r="E165" s="83" t="s">
        <v>60</v>
      </c>
      <c r="G165" s="49"/>
    </row>
    <row r="166" spans="1:7" s="83" customFormat="1" x14ac:dyDescent="0.2">
      <c r="A166" s="67" t="s">
        <v>161</v>
      </c>
      <c r="B166" s="82">
        <f>104.11</f>
        <v>104.11</v>
      </c>
      <c r="C166" s="83" t="s">
        <v>245</v>
      </c>
      <c r="D166" s="49" t="s">
        <v>35</v>
      </c>
      <c r="E166" s="83" t="s">
        <v>32</v>
      </c>
      <c r="G166" s="49"/>
    </row>
    <row r="167" spans="1:7" s="83" customFormat="1" x14ac:dyDescent="0.2">
      <c r="A167" s="67" t="s">
        <v>160</v>
      </c>
      <c r="B167" s="82">
        <f>43.42</f>
        <v>43.42</v>
      </c>
      <c r="C167" s="83" t="s">
        <v>240</v>
      </c>
      <c r="D167" s="49" t="s">
        <v>35</v>
      </c>
      <c r="E167" s="83" t="s">
        <v>36</v>
      </c>
      <c r="G167" s="49"/>
    </row>
    <row r="168" spans="1:7" s="83" customFormat="1" x14ac:dyDescent="0.2">
      <c r="A168" s="85" t="s">
        <v>154</v>
      </c>
      <c r="B168" s="82">
        <f>185+209</f>
        <v>394</v>
      </c>
      <c r="C168" s="83" t="s">
        <v>278</v>
      </c>
      <c r="D168" s="83" t="s">
        <v>28</v>
      </c>
      <c r="E168" s="83" t="s">
        <v>60</v>
      </c>
    </row>
    <row r="169" spans="1:7" s="83" customFormat="1" x14ac:dyDescent="0.2">
      <c r="A169" s="67" t="s">
        <v>160</v>
      </c>
      <c r="B169" s="82">
        <f>102.38</f>
        <v>102.38</v>
      </c>
      <c r="C169" s="83" t="s">
        <v>245</v>
      </c>
      <c r="D169" s="49" t="s">
        <v>35</v>
      </c>
      <c r="E169" s="83" t="s">
        <v>32</v>
      </c>
      <c r="G169" s="49"/>
    </row>
    <row r="170" spans="1:7" s="83" customFormat="1" x14ac:dyDescent="0.2">
      <c r="A170" s="67" t="s">
        <v>159</v>
      </c>
      <c r="B170" s="82">
        <f>32.62</f>
        <v>32.619999999999997</v>
      </c>
      <c r="C170" s="83" t="s">
        <v>279</v>
      </c>
      <c r="D170" s="49" t="s">
        <v>35</v>
      </c>
      <c r="E170" s="83" t="s">
        <v>32</v>
      </c>
      <c r="G170" s="49"/>
    </row>
    <row r="171" spans="1:7" s="83" customFormat="1" x14ac:dyDescent="0.2">
      <c r="A171" s="67" t="s">
        <v>159</v>
      </c>
      <c r="B171" s="82">
        <f>90.5</f>
        <v>90.5</v>
      </c>
      <c r="C171" s="83" t="s">
        <v>280</v>
      </c>
      <c r="D171" s="49" t="s">
        <v>35</v>
      </c>
      <c r="E171" s="83" t="s">
        <v>32</v>
      </c>
      <c r="G171" s="49"/>
    </row>
    <row r="172" spans="1:7" s="83" customFormat="1" x14ac:dyDescent="0.2">
      <c r="A172" s="67" t="s">
        <v>159</v>
      </c>
      <c r="B172" s="82">
        <f>97.42</f>
        <v>97.42</v>
      </c>
      <c r="C172" s="83" t="s">
        <v>280</v>
      </c>
      <c r="D172" s="49" t="s">
        <v>35</v>
      </c>
      <c r="E172" s="83" t="s">
        <v>32</v>
      </c>
      <c r="G172" s="49"/>
    </row>
    <row r="173" spans="1:7" s="83" customFormat="1" x14ac:dyDescent="0.2">
      <c r="A173" s="67" t="s">
        <v>162</v>
      </c>
      <c r="B173" s="82">
        <f>85.54</f>
        <v>85.54</v>
      </c>
      <c r="C173" s="83" t="s">
        <v>245</v>
      </c>
      <c r="D173" s="49" t="s">
        <v>35</v>
      </c>
      <c r="E173" s="83" t="s">
        <v>32</v>
      </c>
      <c r="G173" s="49"/>
    </row>
    <row r="174" spans="1:7" s="83" customFormat="1" x14ac:dyDescent="0.2">
      <c r="A174" s="67" t="s">
        <v>162</v>
      </c>
      <c r="B174" s="82">
        <f>371</f>
        <v>371</v>
      </c>
      <c r="C174" s="83" t="s">
        <v>223</v>
      </c>
      <c r="D174" s="49" t="s">
        <v>28</v>
      </c>
      <c r="E174" s="83" t="s">
        <v>29</v>
      </c>
      <c r="G174" s="49"/>
    </row>
    <row r="175" spans="1:7" s="83" customFormat="1" x14ac:dyDescent="0.2">
      <c r="A175" s="67" t="s">
        <v>162</v>
      </c>
      <c r="B175" s="82">
        <f>57.13</f>
        <v>57.13</v>
      </c>
      <c r="C175" s="83" t="s">
        <v>240</v>
      </c>
      <c r="D175" s="49" t="s">
        <v>35</v>
      </c>
      <c r="E175" s="83" t="s">
        <v>36</v>
      </c>
      <c r="G175" s="49"/>
    </row>
    <row r="176" spans="1:7" s="83" customFormat="1" ht="15" customHeight="1" x14ac:dyDescent="0.2">
      <c r="A176" s="67" t="s">
        <v>154</v>
      </c>
      <c r="B176" s="82">
        <f>78.6</f>
        <v>78.599999999999994</v>
      </c>
      <c r="C176" s="83" t="s">
        <v>278</v>
      </c>
      <c r="D176" s="49" t="s">
        <v>155</v>
      </c>
      <c r="E176" s="83" t="s">
        <v>32</v>
      </c>
      <c r="G176" s="49"/>
    </row>
    <row r="177" spans="1:7" s="83" customFormat="1" x14ac:dyDescent="0.2">
      <c r="A177" s="67" t="s">
        <v>172</v>
      </c>
      <c r="B177" s="82">
        <f>8.1</f>
        <v>8.1</v>
      </c>
      <c r="C177" s="83" t="s">
        <v>251</v>
      </c>
      <c r="D177" s="49" t="s">
        <v>35</v>
      </c>
      <c r="E177" s="83" t="s">
        <v>36</v>
      </c>
      <c r="G177" s="49"/>
    </row>
    <row r="178" spans="1:7" s="83" customFormat="1" x14ac:dyDescent="0.2">
      <c r="A178" s="67" t="s">
        <v>173</v>
      </c>
      <c r="B178" s="82">
        <f>9.4</f>
        <v>9.4</v>
      </c>
      <c r="C178" s="83" t="s">
        <v>251</v>
      </c>
      <c r="D178" s="49" t="s">
        <v>35</v>
      </c>
      <c r="E178" s="83" t="s">
        <v>36</v>
      </c>
      <c r="G178" s="49"/>
    </row>
    <row r="179" spans="1:7" s="83" customFormat="1" x14ac:dyDescent="0.2">
      <c r="A179" s="67" t="s">
        <v>181</v>
      </c>
      <c r="B179" s="82">
        <f>40.5</f>
        <v>40.5</v>
      </c>
      <c r="C179" s="83" t="s">
        <v>259</v>
      </c>
      <c r="D179" s="49" t="s">
        <v>35</v>
      </c>
      <c r="E179" s="83" t="s">
        <v>36</v>
      </c>
      <c r="G179" s="49"/>
    </row>
    <row r="180" spans="1:7" s="83" customFormat="1" ht="15" customHeight="1" x14ac:dyDescent="0.2">
      <c r="A180" s="67" t="s">
        <v>170</v>
      </c>
      <c r="B180" s="82">
        <f>556</f>
        <v>556</v>
      </c>
      <c r="C180" s="83" t="s">
        <v>260</v>
      </c>
      <c r="D180" s="49" t="s">
        <v>28</v>
      </c>
      <c r="E180" s="83" t="s">
        <v>62</v>
      </c>
      <c r="G180" s="49"/>
    </row>
    <row r="181" spans="1:7" s="83" customFormat="1" x14ac:dyDescent="0.2">
      <c r="A181" s="85" t="s">
        <v>181</v>
      </c>
      <c r="B181" s="82">
        <f>96.77</f>
        <v>96.77</v>
      </c>
      <c r="C181" s="83" t="s">
        <v>324</v>
      </c>
      <c r="D181" s="49" t="s">
        <v>35</v>
      </c>
      <c r="E181" s="83" t="s">
        <v>32</v>
      </c>
      <c r="G181" s="49"/>
    </row>
    <row r="182" spans="1:7" s="83" customFormat="1" ht="14.25" customHeight="1" x14ac:dyDescent="0.2">
      <c r="A182" s="85" t="s">
        <v>175</v>
      </c>
      <c r="B182" s="82">
        <f>92.45</f>
        <v>92.45</v>
      </c>
      <c r="C182" s="83" t="s">
        <v>260</v>
      </c>
      <c r="D182" s="49" t="s">
        <v>35</v>
      </c>
      <c r="E182" s="83" t="s">
        <v>32</v>
      </c>
      <c r="G182" s="49"/>
    </row>
    <row r="183" spans="1:7" s="83" customFormat="1" x14ac:dyDescent="0.2">
      <c r="A183" s="85" t="s">
        <v>175</v>
      </c>
      <c r="B183" s="82">
        <f>50.33</f>
        <v>50.33</v>
      </c>
      <c r="C183" s="83" t="s">
        <v>89</v>
      </c>
      <c r="D183" s="49" t="s">
        <v>35</v>
      </c>
      <c r="E183" s="83" t="s">
        <v>32</v>
      </c>
      <c r="G183" s="49"/>
    </row>
    <row r="184" spans="1:7" s="83" customFormat="1" x14ac:dyDescent="0.2">
      <c r="A184" s="67" t="s">
        <v>175</v>
      </c>
      <c r="B184" s="82">
        <f>46.98</f>
        <v>46.98</v>
      </c>
      <c r="C184" s="83" t="s">
        <v>240</v>
      </c>
      <c r="D184" s="49" t="s">
        <v>35</v>
      </c>
      <c r="E184" s="83" t="s">
        <v>36</v>
      </c>
      <c r="G184" s="49"/>
    </row>
    <row r="185" spans="1:7" s="83" customFormat="1" x14ac:dyDescent="0.2">
      <c r="A185" s="85" t="s">
        <v>167</v>
      </c>
      <c r="B185" s="82">
        <f>41.69</f>
        <v>41.69</v>
      </c>
      <c r="C185" s="83" t="s">
        <v>240</v>
      </c>
      <c r="D185" s="83" t="s">
        <v>35</v>
      </c>
      <c r="E185" s="83" t="s">
        <v>36</v>
      </c>
    </row>
    <row r="186" spans="1:7" s="83" customFormat="1" ht="15" customHeight="1" x14ac:dyDescent="0.2">
      <c r="A186" s="85" t="s">
        <v>156</v>
      </c>
      <c r="B186" s="82">
        <f>426</f>
        <v>426</v>
      </c>
      <c r="C186" s="83" t="s">
        <v>325</v>
      </c>
      <c r="D186" s="83" t="s">
        <v>28</v>
      </c>
      <c r="E186" s="83" t="s">
        <v>148</v>
      </c>
    </row>
    <row r="187" spans="1:7" s="83" customFormat="1" x14ac:dyDescent="0.2">
      <c r="A187" s="85" t="s">
        <v>167</v>
      </c>
      <c r="B187" s="82">
        <f>68.15</f>
        <v>68.150000000000006</v>
      </c>
      <c r="C187" s="83" t="s">
        <v>326</v>
      </c>
      <c r="D187" s="83" t="s">
        <v>35</v>
      </c>
      <c r="E187" s="83" t="s">
        <v>147</v>
      </c>
    </row>
    <row r="188" spans="1:7" s="83" customFormat="1" x14ac:dyDescent="0.2">
      <c r="A188" s="85" t="s">
        <v>167</v>
      </c>
      <c r="B188" s="82">
        <v>230</v>
      </c>
      <c r="C188" s="83" t="s">
        <v>325</v>
      </c>
      <c r="D188" s="83" t="s">
        <v>146</v>
      </c>
      <c r="E188" s="83" t="s">
        <v>147</v>
      </c>
    </row>
    <row r="189" spans="1:7" s="83" customFormat="1" x14ac:dyDescent="0.2">
      <c r="A189" s="85" t="s">
        <v>174</v>
      </c>
      <c r="B189" s="82">
        <f>47.63</f>
        <v>47.63</v>
      </c>
      <c r="C189" s="83" t="s">
        <v>246</v>
      </c>
      <c r="D189" s="83" t="s">
        <v>35</v>
      </c>
      <c r="E189" s="83" t="s">
        <v>147</v>
      </c>
    </row>
    <row r="190" spans="1:7" s="83" customFormat="1" x14ac:dyDescent="0.2">
      <c r="A190" s="85" t="s">
        <v>174</v>
      </c>
      <c r="B190" s="82">
        <f>45.58</f>
        <v>45.58</v>
      </c>
      <c r="C190" s="83" t="s">
        <v>37</v>
      </c>
      <c r="D190" s="83" t="s">
        <v>35</v>
      </c>
      <c r="E190" s="83" t="s">
        <v>36</v>
      </c>
    </row>
    <row r="191" spans="1:7" s="83" customFormat="1" x14ac:dyDescent="0.2">
      <c r="A191" s="85" t="s">
        <v>174</v>
      </c>
      <c r="B191" s="82">
        <f>37.91</f>
        <v>37.909999999999997</v>
      </c>
      <c r="C191" s="83" t="s">
        <v>240</v>
      </c>
      <c r="D191" s="83" t="s">
        <v>35</v>
      </c>
      <c r="E191" s="83" t="s">
        <v>36</v>
      </c>
    </row>
    <row r="192" spans="1:7" s="83" customFormat="1" x14ac:dyDescent="0.2">
      <c r="A192" s="85" t="s">
        <v>171</v>
      </c>
      <c r="B192" s="82">
        <f>112.1</f>
        <v>112.1</v>
      </c>
      <c r="C192" s="83" t="s">
        <v>327</v>
      </c>
      <c r="D192" s="83" t="s">
        <v>35</v>
      </c>
      <c r="E192" s="83" t="s">
        <v>32</v>
      </c>
    </row>
    <row r="193" spans="1:7" s="83" customFormat="1" x14ac:dyDescent="0.2">
      <c r="A193" s="88" t="s">
        <v>171</v>
      </c>
      <c r="B193" s="82">
        <f>56.59</f>
        <v>56.59</v>
      </c>
      <c r="C193" s="83" t="s">
        <v>89</v>
      </c>
      <c r="D193" s="83" t="s">
        <v>35</v>
      </c>
      <c r="E193" s="83" t="s">
        <v>32</v>
      </c>
    </row>
    <row r="194" spans="1:7" s="83" customFormat="1" ht="15" customHeight="1" x14ac:dyDescent="0.2">
      <c r="A194" s="85" t="s">
        <v>171</v>
      </c>
      <c r="B194" s="82">
        <f>264+107</f>
        <v>371</v>
      </c>
      <c r="C194" s="83" t="s">
        <v>328</v>
      </c>
      <c r="D194" s="83" t="s">
        <v>28</v>
      </c>
      <c r="E194" s="83" t="s">
        <v>29</v>
      </c>
    </row>
    <row r="195" spans="1:7" s="83" customFormat="1" x14ac:dyDescent="0.2">
      <c r="A195" s="85" t="s">
        <v>171</v>
      </c>
      <c r="B195" s="82">
        <f>37.04</f>
        <v>37.04</v>
      </c>
      <c r="C195" s="83" t="s">
        <v>240</v>
      </c>
      <c r="D195" s="83" t="s">
        <v>35</v>
      </c>
      <c r="E195" s="83" t="s">
        <v>36</v>
      </c>
    </row>
    <row r="196" spans="1:7" s="83" customFormat="1" x14ac:dyDescent="0.2">
      <c r="A196" s="85" t="s">
        <v>180</v>
      </c>
      <c r="B196" s="82">
        <f>10.91</f>
        <v>10.91</v>
      </c>
      <c r="C196" s="83" t="s">
        <v>329</v>
      </c>
      <c r="D196" s="83" t="s">
        <v>35</v>
      </c>
      <c r="E196" s="83" t="s">
        <v>36</v>
      </c>
    </row>
    <row r="197" spans="1:7" s="83" customFormat="1" x14ac:dyDescent="0.2">
      <c r="A197" s="85" t="s">
        <v>179</v>
      </c>
      <c r="B197" s="82">
        <f>21.17</f>
        <v>21.17</v>
      </c>
      <c r="C197" s="83" t="s">
        <v>261</v>
      </c>
      <c r="D197" s="83" t="s">
        <v>35</v>
      </c>
      <c r="E197" s="83" t="s">
        <v>36</v>
      </c>
    </row>
    <row r="198" spans="1:7" s="83" customFormat="1" x14ac:dyDescent="0.2">
      <c r="A198" s="67" t="s">
        <v>176</v>
      </c>
      <c r="B198" s="82">
        <f>8.64</f>
        <v>8.64</v>
      </c>
      <c r="C198" s="83" t="s">
        <v>330</v>
      </c>
      <c r="D198" s="49" t="s">
        <v>35</v>
      </c>
      <c r="E198" s="83" t="s">
        <v>36</v>
      </c>
      <c r="G198" s="49"/>
    </row>
    <row r="199" spans="1:7" s="83" customFormat="1" x14ac:dyDescent="0.2">
      <c r="A199" s="67" t="s">
        <v>176</v>
      </c>
      <c r="B199" s="82">
        <f>37.04</f>
        <v>37.04</v>
      </c>
      <c r="C199" s="83" t="s">
        <v>240</v>
      </c>
      <c r="D199" s="49" t="s">
        <v>35</v>
      </c>
      <c r="E199" s="83" t="s">
        <v>36</v>
      </c>
      <c r="G199" s="49"/>
    </row>
    <row r="200" spans="1:7" s="83" customFormat="1" x14ac:dyDescent="0.2">
      <c r="A200" s="67" t="s">
        <v>191</v>
      </c>
      <c r="B200" s="82">
        <f>640+5</f>
        <v>645</v>
      </c>
      <c r="C200" s="83" t="s">
        <v>331</v>
      </c>
      <c r="D200" s="49" t="s">
        <v>28</v>
      </c>
      <c r="E200" s="83" t="s">
        <v>62</v>
      </c>
      <c r="G200" s="49"/>
    </row>
    <row r="201" spans="1:7" s="83" customFormat="1" x14ac:dyDescent="0.2">
      <c r="A201" s="88" t="s">
        <v>176</v>
      </c>
      <c r="B201" s="82">
        <f>98.93</f>
        <v>98.93</v>
      </c>
      <c r="C201" s="83" t="s">
        <v>89</v>
      </c>
      <c r="D201" s="49" t="s">
        <v>35</v>
      </c>
      <c r="E201" s="83" t="s">
        <v>32</v>
      </c>
      <c r="G201" s="49"/>
    </row>
    <row r="202" spans="1:7" s="83" customFormat="1" x14ac:dyDescent="0.2">
      <c r="A202" s="67" t="s">
        <v>177</v>
      </c>
      <c r="B202" s="82">
        <f>35.21</f>
        <v>35.21</v>
      </c>
      <c r="C202" s="83" t="s">
        <v>332</v>
      </c>
      <c r="D202" s="49" t="s">
        <v>35</v>
      </c>
      <c r="E202" s="83" t="s">
        <v>32</v>
      </c>
      <c r="G202" s="49"/>
    </row>
    <row r="203" spans="1:7" s="83" customFormat="1" x14ac:dyDescent="0.2">
      <c r="A203" s="85" t="s">
        <v>177</v>
      </c>
      <c r="B203" s="82">
        <f>45.58</f>
        <v>45.58</v>
      </c>
      <c r="C203" s="83" t="s">
        <v>332</v>
      </c>
      <c r="D203" s="49" t="s">
        <v>35</v>
      </c>
      <c r="E203" s="83" t="s">
        <v>32</v>
      </c>
      <c r="G203" s="49"/>
    </row>
    <row r="204" spans="1:7" s="83" customFormat="1" x14ac:dyDescent="0.2">
      <c r="A204" s="67" t="s">
        <v>177</v>
      </c>
      <c r="B204" s="82">
        <f>22.9</f>
        <v>22.9</v>
      </c>
      <c r="C204" s="83" t="s">
        <v>332</v>
      </c>
      <c r="D204" s="49" t="s">
        <v>35</v>
      </c>
      <c r="E204" s="83" t="s">
        <v>32</v>
      </c>
      <c r="G204" s="49"/>
    </row>
    <row r="205" spans="1:7" s="83" customFormat="1" x14ac:dyDescent="0.2">
      <c r="A205" s="85" t="s">
        <v>177</v>
      </c>
      <c r="B205" s="82">
        <f>28.3</f>
        <v>28.3</v>
      </c>
      <c r="C205" s="83" t="s">
        <v>332</v>
      </c>
      <c r="D205" s="49" t="s">
        <v>35</v>
      </c>
      <c r="E205" s="83" t="s">
        <v>32</v>
      </c>
      <c r="G205" s="49"/>
    </row>
    <row r="206" spans="1:7" s="83" customFormat="1" x14ac:dyDescent="0.2">
      <c r="A206" s="88" t="s">
        <v>199</v>
      </c>
      <c r="B206" s="82">
        <f>85.1</f>
        <v>85.1</v>
      </c>
      <c r="C206" s="83" t="s">
        <v>89</v>
      </c>
      <c r="D206" s="49" t="s">
        <v>35</v>
      </c>
      <c r="E206" s="83" t="s">
        <v>32</v>
      </c>
      <c r="G206" s="49"/>
    </row>
    <row r="207" spans="1:7" s="83" customFormat="1" ht="15.75" customHeight="1" x14ac:dyDescent="0.2">
      <c r="A207" s="67" t="s">
        <v>178</v>
      </c>
      <c r="B207" s="82">
        <f>11.77</f>
        <v>11.77</v>
      </c>
      <c r="C207" s="83" t="s">
        <v>262</v>
      </c>
      <c r="D207" s="49" t="s">
        <v>35</v>
      </c>
      <c r="E207" s="83" t="s">
        <v>36</v>
      </c>
      <c r="G207" s="49"/>
    </row>
    <row r="208" spans="1:7" s="83" customFormat="1" ht="16.5" customHeight="1" x14ac:dyDescent="0.2">
      <c r="A208" s="67" t="s">
        <v>192</v>
      </c>
      <c r="B208" s="82">
        <f>603-339+180</f>
        <v>444</v>
      </c>
      <c r="C208" s="83" t="s">
        <v>226</v>
      </c>
      <c r="D208" s="49" t="s">
        <v>28</v>
      </c>
      <c r="E208" s="83" t="s">
        <v>193</v>
      </c>
      <c r="G208" s="49"/>
    </row>
    <row r="209" spans="1:7" s="83" customFormat="1" x14ac:dyDescent="0.2">
      <c r="A209" s="67" t="s">
        <v>190</v>
      </c>
      <c r="B209" s="82">
        <f>10.26</f>
        <v>10.26</v>
      </c>
      <c r="C209" s="83" t="s">
        <v>263</v>
      </c>
      <c r="D209" s="49" t="s">
        <v>35</v>
      </c>
      <c r="E209" s="83" t="s">
        <v>36</v>
      </c>
      <c r="G209" s="49"/>
    </row>
    <row r="210" spans="1:7" s="83" customFormat="1" x14ac:dyDescent="0.2">
      <c r="A210" s="67" t="s">
        <v>194</v>
      </c>
      <c r="B210" s="82">
        <f>715</f>
        <v>715</v>
      </c>
      <c r="C210" s="83" t="s">
        <v>333</v>
      </c>
      <c r="D210" s="49" t="s">
        <v>28</v>
      </c>
      <c r="E210" s="83" t="s">
        <v>62</v>
      </c>
      <c r="G210" s="49"/>
    </row>
    <row r="211" spans="1:7" s="83" customFormat="1" x14ac:dyDescent="0.2">
      <c r="A211" s="85" t="s">
        <v>164</v>
      </c>
      <c r="B211" s="82">
        <f>104.11</f>
        <v>104.11</v>
      </c>
      <c r="C211" s="83" t="s">
        <v>89</v>
      </c>
      <c r="D211" s="49" t="s">
        <v>35</v>
      </c>
      <c r="E211" s="83" t="s">
        <v>32</v>
      </c>
      <c r="G211" s="49"/>
    </row>
    <row r="212" spans="1:7" s="83" customFormat="1" x14ac:dyDescent="0.2">
      <c r="A212" s="85" t="s">
        <v>188</v>
      </c>
      <c r="B212" s="82">
        <f>19.66</f>
        <v>19.66</v>
      </c>
      <c r="C212" s="83" t="s">
        <v>265</v>
      </c>
      <c r="D212" s="49" t="s">
        <v>35</v>
      </c>
      <c r="E212" s="83" t="s">
        <v>32</v>
      </c>
      <c r="G212" s="49"/>
    </row>
    <row r="213" spans="1:7" s="83" customFormat="1" x14ac:dyDescent="0.2">
      <c r="A213" s="67" t="s">
        <v>188</v>
      </c>
      <c r="B213" s="82">
        <f>19.87</f>
        <v>19.87</v>
      </c>
      <c r="C213" s="83" t="s">
        <v>265</v>
      </c>
      <c r="D213" s="49" t="s">
        <v>35</v>
      </c>
      <c r="E213" s="83" t="s">
        <v>32</v>
      </c>
      <c r="G213" s="49"/>
    </row>
    <row r="214" spans="1:7" s="83" customFormat="1" x14ac:dyDescent="0.2">
      <c r="A214" s="67" t="s">
        <v>220</v>
      </c>
      <c r="B214" s="82">
        <f>90.6</f>
        <v>90.6</v>
      </c>
      <c r="C214" s="83" t="s">
        <v>89</v>
      </c>
      <c r="D214" s="49" t="s">
        <v>35</v>
      </c>
      <c r="E214" s="83" t="s">
        <v>32</v>
      </c>
      <c r="G214" s="49"/>
    </row>
    <row r="215" spans="1:7" s="83" customFormat="1" x14ac:dyDescent="0.2">
      <c r="A215" s="67" t="s">
        <v>220</v>
      </c>
      <c r="B215" s="82">
        <f>49.4</f>
        <v>49.4</v>
      </c>
      <c r="C215" s="83" t="s">
        <v>37</v>
      </c>
      <c r="D215" s="49" t="s">
        <v>35</v>
      </c>
      <c r="E215" s="83" t="s">
        <v>36</v>
      </c>
      <c r="G215" s="49"/>
    </row>
    <row r="216" spans="1:7" s="83" customFormat="1" x14ac:dyDescent="0.2">
      <c r="A216" s="67" t="s">
        <v>189</v>
      </c>
      <c r="B216" s="82">
        <f>8.1</f>
        <v>8.1</v>
      </c>
      <c r="C216" s="83" t="s">
        <v>266</v>
      </c>
      <c r="D216" s="49" t="s">
        <v>35</v>
      </c>
      <c r="E216" s="83" t="s">
        <v>36</v>
      </c>
      <c r="G216" s="49"/>
    </row>
    <row r="217" spans="1:7" s="83" customFormat="1" x14ac:dyDescent="0.2">
      <c r="A217" s="85" t="s">
        <v>169</v>
      </c>
      <c r="B217" s="82">
        <f>10.367</f>
        <v>10.367000000000001</v>
      </c>
      <c r="C217" s="83" t="s">
        <v>334</v>
      </c>
      <c r="D217" s="83" t="s">
        <v>35</v>
      </c>
      <c r="E217" s="83" t="s">
        <v>36</v>
      </c>
    </row>
    <row r="218" spans="1:7" s="83" customFormat="1" x14ac:dyDescent="0.2">
      <c r="A218" s="85" t="s">
        <v>169</v>
      </c>
      <c r="B218" s="82">
        <v>8.5299999999999994</v>
      </c>
      <c r="C218" s="83" t="s">
        <v>334</v>
      </c>
      <c r="D218" s="83" t="s">
        <v>35</v>
      </c>
      <c r="E218" s="83" t="s">
        <v>36</v>
      </c>
    </row>
    <row r="219" spans="1:7" s="83" customFormat="1" x14ac:dyDescent="0.2">
      <c r="A219" s="85" t="s">
        <v>198</v>
      </c>
      <c r="B219" s="82">
        <f>9.94</f>
        <v>9.94</v>
      </c>
      <c r="C219" s="83" t="s">
        <v>329</v>
      </c>
      <c r="D219" s="49" t="s">
        <v>35</v>
      </c>
      <c r="E219" s="83" t="s">
        <v>36</v>
      </c>
      <c r="G219" s="49"/>
    </row>
    <row r="220" spans="1:7" s="83" customFormat="1" x14ac:dyDescent="0.2">
      <c r="A220" s="67" t="s">
        <v>196</v>
      </c>
      <c r="B220" s="82">
        <f>8.96</f>
        <v>8.9600000000000009</v>
      </c>
      <c r="C220" s="83" t="s">
        <v>335</v>
      </c>
      <c r="D220" s="49" t="s">
        <v>35</v>
      </c>
      <c r="E220" s="83" t="s">
        <v>36</v>
      </c>
      <c r="G220" s="49"/>
    </row>
    <row r="221" spans="1:7" s="83" customFormat="1" x14ac:dyDescent="0.2">
      <c r="A221" s="85" t="s">
        <v>197</v>
      </c>
      <c r="B221" s="82">
        <f>62.86</f>
        <v>62.86</v>
      </c>
      <c r="C221" s="83" t="s">
        <v>240</v>
      </c>
      <c r="D221" s="49" t="s">
        <v>35</v>
      </c>
      <c r="E221" s="83" t="s">
        <v>36</v>
      </c>
      <c r="G221" s="49"/>
    </row>
    <row r="222" spans="1:7" s="83" customFormat="1" x14ac:dyDescent="0.2">
      <c r="A222" s="85" t="s">
        <v>197</v>
      </c>
      <c r="B222" s="82">
        <f>301</f>
        <v>301</v>
      </c>
      <c r="C222" s="83" t="s">
        <v>336</v>
      </c>
      <c r="D222" s="83" t="s">
        <v>28</v>
      </c>
      <c r="E222" s="83" t="s">
        <v>60</v>
      </c>
    </row>
    <row r="223" spans="1:7" s="83" customFormat="1" x14ac:dyDescent="0.2">
      <c r="A223" s="85" t="s">
        <v>197</v>
      </c>
      <c r="B223" s="82">
        <f>90.07</f>
        <v>90.07</v>
      </c>
      <c r="C223" s="83" t="s">
        <v>89</v>
      </c>
      <c r="D223" s="49" t="s">
        <v>35</v>
      </c>
      <c r="E223" s="83" t="s">
        <v>32</v>
      </c>
      <c r="G223" s="49"/>
    </row>
    <row r="224" spans="1:7" s="83" customFormat="1" x14ac:dyDescent="0.2">
      <c r="A224" s="67" t="s">
        <v>195</v>
      </c>
      <c r="B224" s="82">
        <f>39.74</f>
        <v>39.74</v>
      </c>
      <c r="C224" s="83" t="s">
        <v>240</v>
      </c>
      <c r="D224" s="49" t="s">
        <v>35</v>
      </c>
      <c r="E224" s="83" t="s">
        <v>36</v>
      </c>
      <c r="G224" s="49"/>
    </row>
    <row r="225" spans="1:7" s="83" customFormat="1" x14ac:dyDescent="0.2">
      <c r="A225" s="85" t="s">
        <v>200</v>
      </c>
      <c r="B225" s="82">
        <f>7.56</f>
        <v>7.56</v>
      </c>
      <c r="C225" s="83" t="s">
        <v>337</v>
      </c>
      <c r="D225" s="49" t="s">
        <v>35</v>
      </c>
      <c r="E225" s="83" t="s">
        <v>36</v>
      </c>
      <c r="G225" s="49"/>
    </row>
    <row r="226" spans="1:7" s="83" customFormat="1" x14ac:dyDescent="0.2">
      <c r="A226" s="85" t="s">
        <v>202</v>
      </c>
      <c r="B226" s="82">
        <f>42.98</f>
        <v>42.98</v>
      </c>
      <c r="C226" s="83" t="s">
        <v>240</v>
      </c>
      <c r="D226" s="49" t="s">
        <v>35</v>
      </c>
      <c r="E226" s="83" t="s">
        <v>36</v>
      </c>
      <c r="G226" s="49"/>
    </row>
    <row r="227" spans="1:7" s="83" customFormat="1" x14ac:dyDescent="0.2">
      <c r="A227" s="85" t="s">
        <v>209</v>
      </c>
      <c r="B227" s="82">
        <f>678+10</f>
        <v>688</v>
      </c>
      <c r="C227" s="83" t="s">
        <v>338</v>
      </c>
      <c r="D227" s="49" t="s">
        <v>28</v>
      </c>
      <c r="E227" s="83" t="s">
        <v>62</v>
      </c>
      <c r="G227" s="49"/>
    </row>
    <row r="228" spans="1:7" s="83" customFormat="1" x14ac:dyDescent="0.2">
      <c r="A228" s="85" t="s">
        <v>202</v>
      </c>
      <c r="B228" s="82">
        <f>98.28</f>
        <v>98.28</v>
      </c>
      <c r="C228" s="83" t="s">
        <v>89</v>
      </c>
      <c r="D228" s="49" t="s">
        <v>35</v>
      </c>
      <c r="E228" s="83" t="s">
        <v>32</v>
      </c>
      <c r="G228" s="49"/>
    </row>
    <row r="229" spans="1:7" s="83" customFormat="1" x14ac:dyDescent="0.2">
      <c r="A229" s="85" t="s">
        <v>202</v>
      </c>
      <c r="B229" s="82">
        <f>86.4</f>
        <v>86.4</v>
      </c>
      <c r="C229" s="83" t="s">
        <v>89</v>
      </c>
      <c r="D229" s="49" t="s">
        <v>35</v>
      </c>
      <c r="E229" s="83" t="s">
        <v>32</v>
      </c>
      <c r="G229" s="49"/>
    </row>
    <row r="230" spans="1:7" s="83" customFormat="1" x14ac:dyDescent="0.2">
      <c r="A230" s="85" t="s">
        <v>209</v>
      </c>
      <c r="B230" s="82">
        <f>68.8</f>
        <v>68.8</v>
      </c>
      <c r="C230" s="83" t="s">
        <v>338</v>
      </c>
      <c r="D230" s="49" t="s">
        <v>69</v>
      </c>
      <c r="E230" s="83" t="s">
        <v>32</v>
      </c>
      <c r="G230" s="49"/>
    </row>
    <row r="231" spans="1:7" s="83" customFormat="1" x14ac:dyDescent="0.2">
      <c r="A231" s="85" t="s">
        <v>204</v>
      </c>
      <c r="B231" s="82">
        <f>38.12</f>
        <v>38.119999999999997</v>
      </c>
      <c r="C231" s="83" t="s">
        <v>37</v>
      </c>
      <c r="D231" s="49" t="s">
        <v>35</v>
      </c>
      <c r="E231" s="83" t="s">
        <v>36</v>
      </c>
      <c r="G231" s="49"/>
    </row>
    <row r="232" spans="1:7" s="83" customFormat="1" x14ac:dyDescent="0.2">
      <c r="A232" s="85" t="s">
        <v>201</v>
      </c>
      <c r="B232" s="82">
        <f>33.26</f>
        <v>33.26</v>
      </c>
      <c r="C232" s="83" t="s">
        <v>37</v>
      </c>
      <c r="D232" s="49" t="s">
        <v>35</v>
      </c>
      <c r="E232" s="83" t="s">
        <v>36</v>
      </c>
      <c r="G232" s="49"/>
    </row>
    <row r="233" spans="1:7" s="83" customFormat="1" ht="14.25" customHeight="1" x14ac:dyDescent="0.2">
      <c r="A233" s="85" t="s">
        <v>210</v>
      </c>
      <c r="B233" s="82">
        <f>449+75</f>
        <v>524</v>
      </c>
      <c r="C233" s="83" t="s">
        <v>225</v>
      </c>
      <c r="D233" s="49" t="s">
        <v>28</v>
      </c>
      <c r="E233" s="83" t="s">
        <v>62</v>
      </c>
      <c r="G233" s="49"/>
    </row>
    <row r="234" spans="1:7" s="83" customFormat="1" x14ac:dyDescent="0.2">
      <c r="A234" s="85" t="s">
        <v>201</v>
      </c>
      <c r="B234" s="82">
        <f>54.86</f>
        <v>54.86</v>
      </c>
      <c r="C234" s="83" t="s">
        <v>225</v>
      </c>
      <c r="D234" s="49" t="s">
        <v>35</v>
      </c>
      <c r="E234" s="83" t="s">
        <v>32</v>
      </c>
      <c r="G234" s="49"/>
    </row>
    <row r="235" spans="1:7" s="83" customFormat="1" x14ac:dyDescent="0.2">
      <c r="A235" s="85" t="s">
        <v>201</v>
      </c>
      <c r="B235" s="82">
        <f>79.92</f>
        <v>79.92</v>
      </c>
      <c r="C235" s="83" t="s">
        <v>225</v>
      </c>
      <c r="D235" s="49" t="s">
        <v>35</v>
      </c>
      <c r="E235" s="83" t="s">
        <v>32</v>
      </c>
      <c r="G235" s="49"/>
    </row>
    <row r="236" spans="1:7" s="83" customFormat="1" x14ac:dyDescent="0.2">
      <c r="A236" s="85" t="s">
        <v>203</v>
      </c>
      <c r="B236" s="82">
        <f>89.64</f>
        <v>89.64</v>
      </c>
      <c r="C236" s="83" t="s">
        <v>245</v>
      </c>
      <c r="D236" s="49" t="s">
        <v>35</v>
      </c>
      <c r="E236" s="83" t="s">
        <v>32</v>
      </c>
      <c r="G236" s="49"/>
    </row>
    <row r="237" spans="1:7" s="83" customFormat="1" x14ac:dyDescent="0.2">
      <c r="A237" s="88" t="s">
        <v>203</v>
      </c>
      <c r="B237" s="82">
        <f>35.96</f>
        <v>35.96</v>
      </c>
      <c r="C237" s="83" t="s">
        <v>240</v>
      </c>
      <c r="D237" s="49" t="s">
        <v>35</v>
      </c>
      <c r="E237" s="83" t="s">
        <v>36</v>
      </c>
      <c r="G237" s="49"/>
    </row>
    <row r="238" spans="1:7" s="83" customFormat="1" x14ac:dyDescent="0.2">
      <c r="A238" s="85" t="s">
        <v>214</v>
      </c>
      <c r="B238" s="82">
        <f>9.72</f>
        <v>9.7200000000000006</v>
      </c>
      <c r="C238" s="83" t="s">
        <v>339</v>
      </c>
      <c r="D238" s="49" t="s">
        <v>35</v>
      </c>
      <c r="E238" s="83" t="s">
        <v>36</v>
      </c>
      <c r="G238" s="49"/>
    </row>
    <row r="239" spans="1:7" s="83" customFormat="1" x14ac:dyDescent="0.2">
      <c r="A239" s="85" t="s">
        <v>213</v>
      </c>
      <c r="B239" s="82">
        <f>33.26</f>
        <v>33.26</v>
      </c>
      <c r="C239" s="83" t="s">
        <v>240</v>
      </c>
      <c r="D239" s="49" t="s">
        <v>35</v>
      </c>
      <c r="E239" s="83" t="s">
        <v>36</v>
      </c>
      <c r="G239" s="49"/>
    </row>
    <row r="240" spans="1:7" s="83" customFormat="1" x14ac:dyDescent="0.2">
      <c r="A240" s="85" t="s">
        <v>211</v>
      </c>
      <c r="B240" s="82">
        <f>640-364</f>
        <v>276</v>
      </c>
      <c r="C240" s="83" t="s">
        <v>340</v>
      </c>
      <c r="D240" s="49" t="s">
        <v>28</v>
      </c>
      <c r="E240" s="83" t="s">
        <v>78</v>
      </c>
      <c r="G240" s="49"/>
    </row>
    <row r="241" spans="1:28" s="83" customFormat="1" x14ac:dyDescent="0.2">
      <c r="A241" s="85" t="s">
        <v>213</v>
      </c>
      <c r="B241" s="82">
        <f>28.08</f>
        <v>28.08</v>
      </c>
      <c r="C241" s="83" t="s">
        <v>340</v>
      </c>
      <c r="D241" s="49" t="s">
        <v>35</v>
      </c>
      <c r="E241" s="83" t="s">
        <v>32</v>
      </c>
      <c r="G241" s="49"/>
    </row>
    <row r="242" spans="1:28" s="83" customFormat="1" x14ac:dyDescent="0.2">
      <c r="A242" s="85" t="s">
        <v>213</v>
      </c>
      <c r="B242" s="82">
        <f>22.46</f>
        <v>22.46</v>
      </c>
      <c r="C242" s="83" t="s">
        <v>340</v>
      </c>
      <c r="D242" s="49" t="s">
        <v>35</v>
      </c>
      <c r="E242" s="83" t="s">
        <v>32</v>
      </c>
      <c r="G242" s="49"/>
    </row>
    <row r="243" spans="1:28" s="83" customFormat="1" x14ac:dyDescent="0.2">
      <c r="A243" s="85" t="s">
        <v>215</v>
      </c>
      <c r="B243" s="82">
        <f>83.16</f>
        <v>83.16</v>
      </c>
      <c r="C243" s="83" t="s">
        <v>245</v>
      </c>
      <c r="D243" s="49" t="s">
        <v>35</v>
      </c>
      <c r="E243" s="83" t="s">
        <v>32</v>
      </c>
      <c r="G243" s="49"/>
    </row>
    <row r="244" spans="1:28" s="83" customFormat="1" x14ac:dyDescent="0.2">
      <c r="A244" s="85" t="s">
        <v>215</v>
      </c>
      <c r="B244" s="82">
        <f>40.39</f>
        <v>40.39</v>
      </c>
      <c r="C244" s="83" t="s">
        <v>240</v>
      </c>
      <c r="D244" s="49" t="s">
        <v>35</v>
      </c>
      <c r="E244" s="83" t="s">
        <v>36</v>
      </c>
      <c r="G244" s="49"/>
    </row>
    <row r="245" spans="1:28" s="83" customFormat="1" x14ac:dyDescent="0.2">
      <c r="A245" s="85" t="s">
        <v>217</v>
      </c>
      <c r="B245" s="82">
        <f>7.88</f>
        <v>7.88</v>
      </c>
      <c r="C245" s="83" t="s">
        <v>247</v>
      </c>
      <c r="D245" s="49" t="s">
        <v>35</v>
      </c>
      <c r="E245" s="83" t="s">
        <v>36</v>
      </c>
      <c r="G245" s="49"/>
    </row>
    <row r="246" spans="1:28" s="83" customFormat="1" x14ac:dyDescent="0.2">
      <c r="A246" s="85" t="s">
        <v>216</v>
      </c>
      <c r="B246" s="82">
        <f>12.64</f>
        <v>12.64</v>
      </c>
      <c r="C246" s="83" t="s">
        <v>248</v>
      </c>
      <c r="D246" s="49" t="s">
        <v>35</v>
      </c>
      <c r="E246" s="83" t="s">
        <v>36</v>
      </c>
      <c r="G246" s="49"/>
    </row>
    <row r="247" spans="1:28" s="83" customFormat="1" x14ac:dyDescent="0.2">
      <c r="A247" s="85" t="s">
        <v>212</v>
      </c>
      <c r="B247" s="82">
        <f>11.34</f>
        <v>11.34</v>
      </c>
      <c r="C247" s="83" t="s">
        <v>267</v>
      </c>
      <c r="D247" s="83" t="s">
        <v>35</v>
      </c>
      <c r="E247" s="83" t="s">
        <v>36</v>
      </c>
      <c r="G247" s="49"/>
    </row>
    <row r="248" spans="1:28" s="83" customFormat="1" ht="17.25" customHeight="1" x14ac:dyDescent="0.2">
      <c r="A248" s="85" t="s">
        <v>221</v>
      </c>
      <c r="B248" s="82">
        <f>224.5</f>
        <v>224.5</v>
      </c>
      <c r="C248" s="83" t="s">
        <v>227</v>
      </c>
      <c r="D248" s="49" t="s">
        <v>28</v>
      </c>
      <c r="E248" s="83" t="s">
        <v>78</v>
      </c>
      <c r="G248" s="49"/>
    </row>
    <row r="249" spans="1:28" s="83" customFormat="1" ht="25.5" x14ac:dyDescent="0.2">
      <c r="A249" s="85" t="s">
        <v>218</v>
      </c>
      <c r="B249" s="82">
        <f>70.7</f>
        <v>70.7</v>
      </c>
      <c r="C249" s="83" t="s">
        <v>227</v>
      </c>
      <c r="D249" s="49" t="s">
        <v>155</v>
      </c>
      <c r="E249" s="83" t="s">
        <v>32</v>
      </c>
      <c r="G249" s="49"/>
    </row>
    <row r="250" spans="1:28" s="72" customFormat="1" x14ac:dyDescent="0.2">
      <c r="A250" s="73"/>
      <c r="B250" s="71"/>
    </row>
    <row r="251" spans="1:28" s="36" customFormat="1" x14ac:dyDescent="0.2">
      <c r="A251" s="46" t="s">
        <v>27</v>
      </c>
      <c r="B251" s="90">
        <f>SUM(B25:B250)</f>
        <v>29581.68699999998</v>
      </c>
    </row>
    <row r="252" spans="1:28" s="36" customFormat="1" x14ac:dyDescent="0.2">
      <c r="A252" s="41"/>
      <c r="B252" s="42"/>
    </row>
    <row r="253" spans="1:28" s="6" customFormat="1" ht="42.75" x14ac:dyDescent="0.2">
      <c r="A253" s="23" t="s">
        <v>270</v>
      </c>
      <c r="B253" s="20"/>
      <c r="C253" s="8"/>
    </row>
    <row r="254" spans="1:28" x14ac:dyDescent="0.2">
      <c r="A254" s="25" t="s">
        <v>2</v>
      </c>
      <c r="B254" s="40">
        <f>+B251+B20</f>
        <v>30124.876999999979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7"/>
    </row>
  </sheetData>
  <mergeCells count="7">
    <mergeCell ref="B11:C11"/>
    <mergeCell ref="B22:C22"/>
    <mergeCell ref="A1:E1"/>
    <mergeCell ref="A2:B2"/>
    <mergeCell ref="C2:D2"/>
    <mergeCell ref="B3:C3"/>
    <mergeCell ref="B7:C7"/>
  </mergeCells>
  <printOptions gridLines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C22" sqref="C22"/>
    </sheetView>
  </sheetViews>
  <sheetFormatPr defaultRowHeight="12.75" x14ac:dyDescent="0.2"/>
  <cols>
    <col min="1" max="1" width="23.85546875" style="2" customWidth="1"/>
    <col min="2" max="2" width="23.140625" style="19" customWidth="1"/>
    <col min="3" max="3" width="57.7109375" style="2" customWidth="1"/>
    <col min="4" max="4" width="27.140625" style="2" customWidth="1"/>
    <col min="5" max="5" width="28.140625" style="2" customWidth="1"/>
    <col min="6" max="6" width="18.85546875" customWidth="1"/>
    <col min="7" max="7" width="18.42578125" customWidth="1"/>
  </cols>
  <sheetData>
    <row r="1" spans="1:7" s="1" customFormat="1" ht="36" customHeight="1" x14ac:dyDescent="0.25">
      <c r="A1" s="98" t="str">
        <f>+Travel!A1</f>
        <v>Name of organisation - Ministry of Pacific Island Affairs</v>
      </c>
      <c r="B1" s="99"/>
      <c r="C1" s="99"/>
      <c r="D1" s="99"/>
      <c r="E1" s="99"/>
    </row>
    <row r="2" spans="1:7" s="10" customFormat="1" ht="35.25" customHeight="1" x14ac:dyDescent="0.25">
      <c r="A2" s="98" t="str">
        <f>+Travel!A2</f>
        <v>Name of CE: Pauline A Winter</v>
      </c>
      <c r="B2" s="99"/>
      <c r="C2" s="98" t="str">
        <f>+Travel!C2</f>
        <v>Period [01/07/2013 - 30/06/2014]</v>
      </c>
      <c r="D2" s="99"/>
    </row>
    <row r="3" spans="1:7" s="5" customFormat="1" ht="35.25" customHeight="1" x14ac:dyDescent="0.2">
      <c r="A3" s="5" t="s">
        <v>10</v>
      </c>
      <c r="B3" s="100" t="s">
        <v>4</v>
      </c>
      <c r="C3" s="100"/>
    </row>
    <row r="4" spans="1:7" s="7" customFormat="1" ht="25.5" customHeight="1" x14ac:dyDescent="0.2">
      <c r="A4" s="7" t="s">
        <v>0</v>
      </c>
      <c r="B4" s="21" t="s">
        <v>2</v>
      </c>
      <c r="C4" s="7" t="s">
        <v>11</v>
      </c>
      <c r="D4" s="7" t="s">
        <v>12</v>
      </c>
      <c r="E4" s="7" t="s">
        <v>1</v>
      </c>
    </row>
    <row r="5" spans="1:7" s="70" customFormat="1" ht="13.15" customHeight="1" x14ac:dyDescent="0.2">
      <c r="A5" s="41"/>
      <c r="B5" s="68"/>
    </row>
    <row r="6" spans="1:7" s="51" customFormat="1" x14ac:dyDescent="0.2">
      <c r="A6" s="64" t="s">
        <v>137</v>
      </c>
      <c r="B6" s="65">
        <f>27.8</f>
        <v>27.8</v>
      </c>
      <c r="C6" s="50" t="s">
        <v>138</v>
      </c>
      <c r="D6" s="50"/>
      <c r="E6" s="50" t="s">
        <v>36</v>
      </c>
      <c r="F6" s="50"/>
      <c r="G6" s="50"/>
    </row>
    <row r="7" spans="1:7" s="44" customFormat="1" x14ac:dyDescent="0.2">
      <c r="A7" s="43"/>
      <c r="B7" s="38"/>
      <c r="C7" s="39"/>
      <c r="D7" s="39"/>
      <c r="E7" s="39"/>
      <c r="F7" s="39"/>
    </row>
    <row r="8" spans="1:7" s="51" customFormat="1" hidden="1" x14ac:dyDescent="0.2">
      <c r="A8" s="50"/>
      <c r="B8" s="65">
        <f>SUM(B6:B7)</f>
        <v>27.8</v>
      </c>
      <c r="C8" s="50"/>
      <c r="D8" s="50"/>
      <c r="E8" s="50"/>
    </row>
    <row r="9" spans="1:7" hidden="1" x14ac:dyDescent="0.2"/>
    <row r="10" spans="1:7" ht="11.25" customHeight="1" x14ac:dyDescent="0.2"/>
    <row r="11" spans="1:7" hidden="1" x14ac:dyDescent="0.2"/>
    <row r="12" spans="1:7" s="11" customFormat="1" ht="25.5" customHeight="1" x14ac:dyDescent="0.2">
      <c r="A12" s="4" t="s">
        <v>10</v>
      </c>
      <c r="B12" s="96" t="s">
        <v>7</v>
      </c>
      <c r="C12" s="96"/>
      <c r="D12" s="4"/>
      <c r="E12" s="4"/>
    </row>
    <row r="13" spans="1:7" ht="22.5" customHeight="1" x14ac:dyDescent="0.2">
      <c r="A13" s="7" t="s">
        <v>0</v>
      </c>
      <c r="B13" s="21" t="s">
        <v>2</v>
      </c>
      <c r="C13" s="7"/>
      <c r="D13" s="7"/>
      <c r="E13" s="7"/>
    </row>
    <row r="14" spans="1:7" s="51" customFormat="1" ht="13.15" customHeight="1" x14ac:dyDescent="0.2">
      <c r="A14" s="47"/>
      <c r="B14" s="80"/>
      <c r="C14" s="77"/>
      <c r="D14" s="77"/>
      <c r="E14" s="77"/>
    </row>
    <row r="15" spans="1:7" s="51" customFormat="1" ht="13.15" customHeight="1" x14ac:dyDescent="0.2">
      <c r="A15" s="47" t="s">
        <v>186</v>
      </c>
      <c r="B15" s="80">
        <f>445.8</f>
        <v>445.8</v>
      </c>
      <c r="C15" s="77" t="s">
        <v>187</v>
      </c>
      <c r="D15" s="77"/>
      <c r="E15" s="77" t="s">
        <v>36</v>
      </c>
      <c r="F15" s="87"/>
    </row>
    <row r="16" spans="1:7" s="51" customFormat="1" ht="13.15" customHeight="1" x14ac:dyDescent="0.2">
      <c r="A16" s="77" t="s">
        <v>46</v>
      </c>
      <c r="B16" s="84">
        <v>62.3</v>
      </c>
      <c r="C16" s="77" t="s">
        <v>47</v>
      </c>
      <c r="D16" s="77" t="s">
        <v>48</v>
      </c>
      <c r="E16" s="77" t="s">
        <v>36</v>
      </c>
    </row>
    <row r="17" spans="1:7" s="51" customFormat="1" x14ac:dyDescent="0.2">
      <c r="A17" s="64" t="s">
        <v>49</v>
      </c>
      <c r="B17" s="65">
        <v>61.6</v>
      </c>
      <c r="C17" s="50" t="s">
        <v>282</v>
      </c>
      <c r="D17" s="77" t="s">
        <v>48</v>
      </c>
      <c r="E17" s="77" t="s">
        <v>36</v>
      </c>
      <c r="F17" s="50"/>
      <c r="G17" s="50"/>
    </row>
    <row r="18" spans="1:7" s="51" customFormat="1" x14ac:dyDescent="0.2">
      <c r="A18" s="64" t="s">
        <v>152</v>
      </c>
      <c r="B18" s="65">
        <v>38.29</v>
      </c>
      <c r="C18" s="50" t="s">
        <v>341</v>
      </c>
      <c r="D18" s="50"/>
      <c r="E18" s="50" t="s">
        <v>36</v>
      </c>
      <c r="F18" s="50"/>
      <c r="G18" s="50"/>
    </row>
    <row r="19" spans="1:7" s="51" customFormat="1" ht="12.75" customHeight="1" x14ac:dyDescent="0.2">
      <c r="A19" s="64" t="s">
        <v>164</v>
      </c>
      <c r="B19" s="65">
        <v>263.35000000000002</v>
      </c>
      <c r="C19" s="50" t="s">
        <v>165</v>
      </c>
      <c r="D19" s="50" t="s">
        <v>166</v>
      </c>
      <c r="E19" s="50" t="s">
        <v>36</v>
      </c>
      <c r="F19" s="50"/>
      <c r="G19" s="50"/>
    </row>
    <row r="20" spans="1:7" s="49" customFormat="1" ht="12.75" customHeight="1" x14ac:dyDescent="0.2">
      <c r="A20" s="47" t="s">
        <v>182</v>
      </c>
      <c r="B20" s="48">
        <f>443.9</f>
        <v>443.9</v>
      </c>
      <c r="C20" s="49" t="s">
        <v>183</v>
      </c>
      <c r="D20" s="50" t="s">
        <v>166</v>
      </c>
      <c r="E20" s="49" t="s">
        <v>36</v>
      </c>
      <c r="F20" s="50"/>
    </row>
    <row r="21" spans="1:7" s="49" customFormat="1" ht="12.75" customHeight="1" x14ac:dyDescent="0.2">
      <c r="A21" s="47" t="s">
        <v>207</v>
      </c>
      <c r="B21" s="48">
        <f>15</f>
        <v>15</v>
      </c>
      <c r="C21" s="49" t="s">
        <v>208</v>
      </c>
      <c r="D21" s="50"/>
      <c r="E21" s="49" t="s">
        <v>36</v>
      </c>
      <c r="F21" s="50"/>
    </row>
    <row r="22" spans="1:7" s="36" customFormat="1" ht="12.75" customHeight="1" x14ac:dyDescent="0.2">
      <c r="A22" s="41"/>
      <c r="B22" s="42"/>
      <c r="D22" s="39"/>
    </row>
    <row r="23" spans="1:7" s="51" customFormat="1" x14ac:dyDescent="0.2">
      <c r="A23" s="66"/>
      <c r="B23" s="89">
        <f>SUM(B14:B22)</f>
        <v>1330.24</v>
      </c>
      <c r="C23" s="50"/>
      <c r="D23" s="50"/>
      <c r="E23" s="50"/>
    </row>
    <row r="24" spans="1:7" s="44" customFormat="1" x14ac:dyDescent="0.2">
      <c r="A24" s="45"/>
      <c r="B24" s="38"/>
      <c r="C24" s="39"/>
      <c r="D24" s="39"/>
      <c r="E24" s="39"/>
    </row>
    <row r="26" spans="1:7" s="6" customFormat="1" ht="48" customHeight="1" x14ac:dyDescent="0.2">
      <c r="A26" s="12" t="s">
        <v>271</v>
      </c>
      <c r="B26" s="20">
        <f>+B23+B8</f>
        <v>1358.04</v>
      </c>
      <c r="C26" s="8"/>
    </row>
  </sheetData>
  <mergeCells count="5">
    <mergeCell ref="A1:E1"/>
    <mergeCell ref="A2:B2"/>
    <mergeCell ref="C2:D2"/>
    <mergeCell ref="B3:C3"/>
    <mergeCell ref="B12:C12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A19" sqref="A19"/>
    </sheetView>
  </sheetViews>
  <sheetFormatPr defaultRowHeight="12.75" x14ac:dyDescent="0.2"/>
  <cols>
    <col min="1" max="1" width="23.85546875" style="2" customWidth="1"/>
    <col min="2" max="2" width="23.140625" style="19" customWidth="1"/>
    <col min="3" max="3" width="57.5703125" style="2" customWidth="1"/>
    <col min="4" max="4" width="27.140625" style="2" customWidth="1"/>
    <col min="5" max="5" width="28.140625" style="2" customWidth="1"/>
  </cols>
  <sheetData>
    <row r="1" spans="1:6" ht="39.75" customHeight="1" x14ac:dyDescent="0.25">
      <c r="A1" s="92" t="str">
        <f>+Travel!A1</f>
        <v>Name of organisation - Ministry of Pacific Island Affairs</v>
      </c>
      <c r="B1" s="93"/>
      <c r="C1" s="93"/>
      <c r="D1" s="93"/>
      <c r="E1" s="93"/>
    </row>
    <row r="2" spans="1:6" ht="29.25" customHeight="1" x14ac:dyDescent="0.25">
      <c r="A2" s="94" t="str">
        <f>+Travel!A2</f>
        <v>Name of CE: Pauline A Winter</v>
      </c>
      <c r="B2" s="95"/>
      <c r="C2" s="94" t="str">
        <f>+Travel!C2</f>
        <v>Period [01/07/2013 - 30/06/2014]</v>
      </c>
      <c r="D2" s="95"/>
      <c r="E2" s="3"/>
    </row>
    <row r="3" spans="1:6" ht="39.75" customHeight="1" x14ac:dyDescent="0.2">
      <c r="A3" s="4" t="s">
        <v>13</v>
      </c>
      <c r="B3" s="96" t="s">
        <v>4</v>
      </c>
      <c r="C3" s="96"/>
      <c r="D3" s="4"/>
      <c r="E3" s="4"/>
    </row>
    <row r="4" spans="1:6" ht="21.75" customHeight="1" x14ac:dyDescent="0.2">
      <c r="A4" s="3" t="s">
        <v>0</v>
      </c>
      <c r="B4" s="37" t="s">
        <v>2</v>
      </c>
      <c r="C4" s="95" t="s">
        <v>14</v>
      </c>
      <c r="D4" s="95"/>
      <c r="E4" s="3" t="s">
        <v>15</v>
      </c>
    </row>
    <row r="5" spans="1:6" s="44" customFormat="1" x14ac:dyDescent="0.2">
      <c r="A5" s="43" t="s">
        <v>30</v>
      </c>
      <c r="B5" s="38"/>
      <c r="C5" s="39"/>
      <c r="D5" s="39"/>
      <c r="E5" s="39"/>
    </row>
    <row r="8" spans="1:6" ht="18" customHeight="1" x14ac:dyDescent="0.2">
      <c r="A8" s="4" t="s">
        <v>13</v>
      </c>
      <c r="B8" s="96" t="s">
        <v>7</v>
      </c>
      <c r="C8" s="96"/>
      <c r="D8" s="4"/>
      <c r="E8" s="4"/>
    </row>
    <row r="9" spans="1:6" ht="15" customHeight="1" x14ac:dyDescent="0.2">
      <c r="A9" s="3" t="s">
        <v>0</v>
      </c>
      <c r="B9" s="37" t="s">
        <v>2</v>
      </c>
      <c r="C9" s="3"/>
      <c r="D9" s="3"/>
      <c r="E9" s="3"/>
    </row>
    <row r="10" spans="1:6" s="51" customFormat="1" ht="13.15" customHeight="1" x14ac:dyDescent="0.2">
      <c r="A10" s="47"/>
      <c r="B10" s="76"/>
      <c r="C10" s="77"/>
      <c r="D10" s="77"/>
      <c r="E10" s="77"/>
    </row>
    <row r="11" spans="1:6" s="51" customFormat="1" ht="13.15" customHeight="1" x14ac:dyDescent="0.2">
      <c r="A11" s="47" t="s">
        <v>184</v>
      </c>
      <c r="B11" s="76">
        <f>20.99</f>
        <v>20.99</v>
      </c>
      <c r="C11" s="77" t="s">
        <v>185</v>
      </c>
      <c r="D11" s="77"/>
      <c r="E11" s="77"/>
      <c r="F11" s="77"/>
    </row>
    <row r="12" spans="1:6" s="51" customFormat="1" ht="13.15" customHeight="1" x14ac:dyDescent="0.2">
      <c r="A12" s="47" t="s">
        <v>38</v>
      </c>
      <c r="B12" s="76">
        <v>99.99</v>
      </c>
      <c r="C12" s="50" t="s">
        <v>39</v>
      </c>
      <c r="D12" s="77"/>
      <c r="E12" s="49"/>
      <c r="F12" s="49"/>
    </row>
    <row r="13" spans="1:6" s="51" customFormat="1" x14ac:dyDescent="0.2">
      <c r="A13" s="64" t="s">
        <v>75</v>
      </c>
      <c r="B13" s="75">
        <f>19.99</f>
        <v>19.989999999999998</v>
      </c>
      <c r="C13" s="50" t="s">
        <v>76</v>
      </c>
      <c r="D13" s="50"/>
      <c r="E13" s="49"/>
      <c r="F13" s="49"/>
    </row>
    <row r="14" spans="1:6" s="51" customFormat="1" x14ac:dyDescent="0.2">
      <c r="A14" s="47" t="s">
        <v>119</v>
      </c>
      <c r="B14" s="76">
        <v>99.99</v>
      </c>
      <c r="C14" s="50" t="s">
        <v>39</v>
      </c>
      <c r="D14" s="77"/>
      <c r="E14" s="49"/>
      <c r="F14" s="49"/>
    </row>
    <row r="15" spans="1:6" s="51" customFormat="1" x14ac:dyDescent="0.2">
      <c r="A15" s="47" t="s">
        <v>168</v>
      </c>
      <c r="B15" s="76">
        <v>99.99</v>
      </c>
      <c r="C15" s="50" t="s">
        <v>39</v>
      </c>
      <c r="D15" s="77"/>
      <c r="E15" s="49"/>
      <c r="F15" s="49"/>
    </row>
    <row r="16" spans="1:6" s="51" customFormat="1" ht="13.15" customHeight="1" x14ac:dyDescent="0.2">
      <c r="A16" s="47" t="s">
        <v>169</v>
      </c>
      <c r="B16" s="76">
        <f>354.32</f>
        <v>354.32</v>
      </c>
      <c r="C16" s="50" t="s">
        <v>268</v>
      </c>
      <c r="D16" s="50"/>
      <c r="E16" s="50"/>
      <c r="F16" s="50"/>
    </row>
    <row r="17" spans="1:6" s="51" customFormat="1" x14ac:dyDescent="0.2">
      <c r="A17" s="64" t="s">
        <v>205</v>
      </c>
      <c r="B17" s="75">
        <f>365.7</f>
        <v>365.7</v>
      </c>
      <c r="C17" s="50" t="s">
        <v>206</v>
      </c>
      <c r="D17" s="50"/>
      <c r="E17" s="50"/>
      <c r="F17" s="50"/>
    </row>
    <row r="18" spans="1:6" s="51" customFormat="1" x14ac:dyDescent="0.2">
      <c r="A18" s="47" t="s">
        <v>218</v>
      </c>
      <c r="B18" s="76">
        <v>99.99</v>
      </c>
      <c r="C18" s="50" t="s">
        <v>39</v>
      </c>
      <c r="D18" s="77"/>
      <c r="E18" s="49"/>
      <c r="F18" s="49"/>
    </row>
    <row r="19" spans="1:6" s="36" customFormat="1" x14ac:dyDescent="0.2">
      <c r="A19" s="41"/>
      <c r="B19" s="74"/>
    </row>
    <row r="20" spans="1:6" s="44" customFormat="1" x14ac:dyDescent="0.2">
      <c r="A20" s="47"/>
      <c r="B20" s="76"/>
      <c r="C20" s="50"/>
      <c r="D20" s="39"/>
      <c r="E20" s="39"/>
      <c r="F20" s="39"/>
    </row>
    <row r="21" spans="1:6" ht="28.5" x14ac:dyDescent="0.2">
      <c r="A21" s="9" t="s">
        <v>272</v>
      </c>
      <c r="B21" s="20">
        <f>SUM(B10:B20)</f>
        <v>1160.96</v>
      </c>
      <c r="C21" s="8"/>
      <c r="D21" s="6"/>
      <c r="E21" s="6"/>
    </row>
  </sheetData>
  <mergeCells count="6">
    <mergeCell ref="B8:C8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0" sqref="F10"/>
    </sheetView>
  </sheetViews>
  <sheetFormatPr defaultRowHeight="12.75" x14ac:dyDescent="0.2"/>
  <cols>
    <col min="1" max="1" width="23.85546875" style="57" customWidth="1"/>
    <col min="2" max="2" width="23.140625" style="2" customWidth="1"/>
    <col min="3" max="3" width="27.42578125" style="2" customWidth="1"/>
    <col min="4" max="4" width="27.140625" style="63" customWidth="1"/>
    <col min="5" max="5" width="28.140625" style="2" customWidth="1"/>
  </cols>
  <sheetData>
    <row r="1" spans="1:5" ht="34.5" customHeight="1" x14ac:dyDescent="0.25">
      <c r="A1" s="92" t="str">
        <f>+Travel!A1</f>
        <v>Name of organisation - Ministry of Pacific Island Affairs</v>
      </c>
      <c r="B1" s="93"/>
      <c r="C1" s="93"/>
      <c r="D1" s="93"/>
      <c r="E1" s="93"/>
    </row>
    <row r="2" spans="1:5" ht="30" customHeight="1" x14ac:dyDescent="0.25">
      <c r="A2" s="94" t="str">
        <f>+Travel!A2</f>
        <v>Name of CE: Pauline A Winter</v>
      </c>
      <c r="B2" s="95"/>
      <c r="C2" s="94" t="str">
        <f>+Travel!C2</f>
        <v>Period [01/07/2013 - 30/06/2014]</v>
      </c>
      <c r="D2" s="95"/>
      <c r="E2" s="3"/>
    </row>
    <row r="3" spans="1:5" ht="27" customHeight="1" x14ac:dyDescent="0.2">
      <c r="A3" s="96" t="s">
        <v>25</v>
      </c>
      <c r="B3" s="102"/>
      <c r="C3" s="102"/>
      <c r="D3" s="102"/>
      <c r="E3" s="102"/>
    </row>
    <row r="4" spans="1:5" s="13" customFormat="1" ht="50.25" customHeight="1" x14ac:dyDescent="0.2">
      <c r="A4" s="103" t="s">
        <v>16</v>
      </c>
      <c r="B4" s="104"/>
      <c r="C4" s="104"/>
      <c r="D4" s="104"/>
      <c r="E4" s="104"/>
    </row>
    <row r="5" spans="1:5" ht="20.25" customHeight="1" x14ac:dyDescent="0.2">
      <c r="A5" s="52" t="s">
        <v>17</v>
      </c>
      <c r="B5" s="100"/>
      <c r="C5" s="100"/>
      <c r="D5" s="58"/>
      <c r="E5" s="5"/>
    </row>
    <row r="6" spans="1:5" ht="19.5" customHeight="1" x14ac:dyDescent="0.2">
      <c r="A6" s="53" t="s">
        <v>0</v>
      </c>
      <c r="B6" s="3" t="s">
        <v>18</v>
      </c>
      <c r="C6" s="3" t="s">
        <v>19</v>
      </c>
      <c r="D6" s="59" t="s">
        <v>20</v>
      </c>
      <c r="E6" s="3"/>
    </row>
    <row r="7" spans="1:5" s="51" customFormat="1" x14ac:dyDescent="0.2">
      <c r="A7" s="54" t="s">
        <v>30</v>
      </c>
      <c r="B7" s="50"/>
      <c r="C7" s="50"/>
      <c r="D7" s="60"/>
      <c r="E7" s="50"/>
    </row>
    <row r="12" spans="1:5" s="15" customFormat="1" ht="27" customHeight="1" x14ac:dyDescent="0.2">
      <c r="A12" s="55" t="s">
        <v>21</v>
      </c>
      <c r="B12" s="101"/>
      <c r="C12" s="101"/>
      <c r="D12" s="61"/>
      <c r="E12" s="14"/>
    </row>
    <row r="13" spans="1:5" x14ac:dyDescent="0.2">
      <c r="A13" s="53" t="s">
        <v>0</v>
      </c>
      <c r="B13" s="3" t="s">
        <v>18</v>
      </c>
      <c r="C13" s="3" t="s">
        <v>22</v>
      </c>
      <c r="D13" s="59" t="s">
        <v>23</v>
      </c>
      <c r="E13" s="3"/>
    </row>
    <row r="14" spans="1:5" x14ac:dyDescent="0.2">
      <c r="A14" s="57" t="s">
        <v>30</v>
      </c>
    </row>
    <row r="20" spans="1:5" x14ac:dyDescent="0.2">
      <c r="A20" s="56"/>
      <c r="B20" s="1"/>
      <c r="C20" s="1"/>
      <c r="D20" s="62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Debbie Bell</cp:lastModifiedBy>
  <cp:lastPrinted>2014-07-18T00:52:43Z</cp:lastPrinted>
  <dcterms:created xsi:type="dcterms:W3CDTF">2010-10-17T20:59:02Z</dcterms:created>
  <dcterms:modified xsi:type="dcterms:W3CDTF">2016-07-15T04:21:27Z</dcterms:modified>
</cp:coreProperties>
</file>