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10" windowWidth="15360" windowHeight="8790"/>
  </bookViews>
  <sheets>
    <sheet name="Travel" sheetId="1" r:id="rId1"/>
    <sheet name="Hospitality" sheetId="2" r:id="rId2"/>
    <sheet name="Other" sheetId="3" r:id="rId3"/>
    <sheet name="Gifts" sheetId="4" r:id="rId4"/>
  </sheets>
  <definedNames>
    <definedName name="_xlnm.Print_Area" localSheetId="1">Hospitality!$A$1:$E$24</definedName>
  </definedNames>
  <calcPr calcId="145621"/>
</workbook>
</file>

<file path=xl/calcChain.xml><?xml version="1.0" encoding="utf-8"?>
<calcChain xmlns="http://schemas.openxmlformats.org/spreadsheetml/2006/main">
  <c r="B46" i="3" l="1"/>
  <c r="B44" i="3"/>
  <c r="B30" i="3"/>
  <c r="B24" i="3"/>
  <c r="B20" i="3"/>
  <c r="B26" i="3" l="1"/>
  <c r="B16" i="2"/>
  <c r="B227" i="1" l="1"/>
  <c r="B69" i="1"/>
  <c r="B50" i="1"/>
  <c r="B67" i="1"/>
  <c r="B238" i="1"/>
  <c r="B224" i="1"/>
  <c r="B222" i="1"/>
  <c r="B223" i="1"/>
  <c r="B216" i="1"/>
  <c r="B200" i="1"/>
  <c r="B199" i="1"/>
  <c r="B196" i="1"/>
  <c r="B193" i="1"/>
  <c r="B186" i="1"/>
  <c r="B189" i="1"/>
  <c r="B181" i="1"/>
  <c r="B179" i="1"/>
  <c r="B170" i="1"/>
  <c r="B169" i="1"/>
  <c r="B168" i="1"/>
  <c r="B159" i="1"/>
  <c r="B156" i="1"/>
  <c r="B149" i="1"/>
  <c r="B144" i="1"/>
  <c r="B136" i="1"/>
  <c r="B130" i="1"/>
  <c r="B134" i="1"/>
  <c r="B135" i="1"/>
  <c r="B128" i="1"/>
  <c r="B126" i="1"/>
  <c r="B125" i="1"/>
  <c r="B115" i="1"/>
  <c r="B114" i="1"/>
  <c r="B113" i="1"/>
  <c r="B112" i="1"/>
  <c r="B106" i="1"/>
  <c r="B103" i="1"/>
  <c r="B92" i="1"/>
  <c r="B91" i="1"/>
  <c r="B93" i="1"/>
  <c r="B87" i="1"/>
  <c r="B72" i="1"/>
  <c r="B65" i="1" l="1"/>
  <c r="B53" i="1"/>
  <c r="B49" i="1"/>
  <c r="B46" i="1"/>
  <c r="B43" i="1"/>
  <c r="B41" i="1"/>
  <c r="B39" i="1"/>
  <c r="B30" i="1"/>
  <c r="B32" i="1"/>
  <c r="B31" i="1"/>
  <c r="B33" i="1"/>
  <c r="B29" i="1"/>
  <c r="B28" i="1"/>
  <c r="B25" i="1"/>
  <c r="B20" i="1" l="1"/>
  <c r="B245" i="1"/>
  <c r="B234" i="1"/>
  <c r="B233" i="1"/>
  <c r="B232" i="1"/>
  <c r="B230" i="1"/>
  <c r="B229" i="1"/>
  <c r="B225" i="1"/>
  <c r="B219" i="1"/>
  <c r="B217" i="1"/>
  <c r="B212" i="1"/>
  <c r="B210" i="1"/>
  <c r="B208" i="1"/>
  <c r="B203" i="1"/>
  <c r="B202" i="1"/>
  <c r="B201" i="1"/>
  <c r="B197" i="1"/>
  <c r="B195" i="1"/>
  <c r="B191" i="1"/>
  <c r="B190" i="1"/>
  <c r="B188" i="1"/>
  <c r="B184" i="1"/>
  <c r="B182" i="1"/>
  <c r="B177" i="1"/>
  <c r="B175" i="1"/>
  <c r="B174" i="1"/>
  <c r="B171" i="1"/>
  <c r="B166" i="1"/>
  <c r="B165" i="1"/>
  <c r="B164" i="1"/>
  <c r="B163" i="1"/>
  <c r="B162" i="1"/>
  <c r="B161" i="1"/>
  <c r="B158" i="1"/>
  <c r="B155" i="1"/>
  <c r="B153" i="1"/>
  <c r="B152" i="1"/>
  <c r="B151" i="1"/>
  <c r="B147" i="1"/>
  <c r="B138" i="1"/>
  <c r="B137" i="1" l="1"/>
  <c r="B132" i="1"/>
  <c r="B131" i="1"/>
  <c r="B124" i="1"/>
  <c r="B122" i="1"/>
  <c r="B120" i="1"/>
  <c r="B118" i="1"/>
  <c r="B117" i="1"/>
  <c r="B116" i="1"/>
  <c r="B111" i="1"/>
  <c r="B109" i="1"/>
  <c r="B107" i="1"/>
  <c r="B104" i="1"/>
  <c r="B102" i="1"/>
  <c r="B100" i="1"/>
  <c r="B99" i="1"/>
  <c r="B96" i="1"/>
  <c r="B95" i="1"/>
  <c r="B90" i="1"/>
  <c r="B89" i="1"/>
  <c r="B94" i="1"/>
  <c r="B83" i="1"/>
  <c r="B81" i="1"/>
  <c r="B79" i="1"/>
  <c r="B77" i="1"/>
  <c r="B75" i="1"/>
  <c r="B74" i="1"/>
  <c r="B63" i="1"/>
  <c r="B61" i="1"/>
  <c r="B57" i="1"/>
  <c r="B55" i="1"/>
  <c r="B51" i="1"/>
  <c r="B48" i="1"/>
  <c r="B38" i="1"/>
  <c r="B36" i="1"/>
  <c r="B34" i="1"/>
  <c r="B24" i="1"/>
  <c r="B12" i="2" l="1"/>
  <c r="B10" i="2"/>
  <c r="B34" i="3"/>
  <c r="B32" i="3"/>
  <c r="B172" i="1"/>
  <c r="B146" i="1"/>
  <c r="B236" i="1"/>
  <c r="B241" i="1" l="1"/>
  <c r="B205" i="1"/>
  <c r="B139" i="1"/>
  <c r="B142" i="1"/>
  <c r="B173" i="1"/>
  <c r="B215" i="1"/>
  <c r="B214" i="1"/>
  <c r="B86" i="1"/>
  <c r="B85" i="1"/>
  <c r="B22" i="1"/>
  <c r="B243" i="1"/>
  <c r="B239" i="1"/>
  <c r="B220" i="1"/>
  <c r="B231" i="1"/>
  <c r="B213" i="1"/>
  <c r="B207" i="1"/>
  <c r="B180" i="1"/>
  <c r="B150" i="1"/>
  <c r="B141" i="1"/>
  <c r="B145" i="1"/>
  <c r="B129" i="1"/>
  <c r="B101" i="1"/>
  <c r="B84" i="1"/>
  <c r="B73" i="1"/>
  <c r="B70" i="1"/>
  <c r="B64" i="1"/>
  <c r="B59" i="1"/>
  <c r="B54" i="1"/>
  <c r="B47" i="1"/>
  <c r="B44" i="1"/>
  <c r="B27" i="1"/>
  <c r="B23" i="1"/>
  <c r="B14" i="2" l="1"/>
  <c r="B16" i="1"/>
  <c r="C2" i="4" l="1"/>
  <c r="A2" i="4"/>
  <c r="A1" i="4"/>
  <c r="C2" i="3"/>
  <c r="A2" i="3"/>
  <c r="A1" i="3"/>
  <c r="C2" i="2"/>
  <c r="A2" i="2"/>
  <c r="A1" i="2"/>
  <c r="B247" i="1" l="1"/>
  <c r="B250" i="1" s="1"/>
</calcChain>
</file>

<file path=xl/sharedStrings.xml><?xml version="1.0" encoding="utf-8"?>
<sst xmlns="http://schemas.openxmlformats.org/spreadsheetml/2006/main" count="843" uniqueCount="213">
  <si>
    <t>Date</t>
  </si>
  <si>
    <t>Location/s</t>
  </si>
  <si>
    <t>Amount (NZ$)</t>
  </si>
  <si>
    <t>International Travel</t>
  </si>
  <si>
    <t>Credit Card expenses</t>
  </si>
  <si>
    <t>Domestic Travel</t>
  </si>
  <si>
    <t>Hospitality provided</t>
  </si>
  <si>
    <t>Nature</t>
  </si>
  <si>
    <t>Other</t>
  </si>
  <si>
    <t>Location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</si>
  <si>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</si>
  <si>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</si>
  <si>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</si>
  <si>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</si>
  <si>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</si>
  <si>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</si>
  <si>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</si>
  <si>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</si>
  <si>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Gifts &amp; Hospitality accepted (over $100 in estimated value)</t>
  </si>
  <si>
    <t>Name of organisation - Ministry of Pacific Island Affairs</t>
  </si>
  <si>
    <t>Total</t>
  </si>
  <si>
    <t>Nil</t>
  </si>
  <si>
    <t>Name of CE: Pauline A Winter</t>
  </si>
  <si>
    <t>Auckland</t>
  </si>
  <si>
    <t>Taxi</t>
  </si>
  <si>
    <t>Wellington</t>
  </si>
  <si>
    <t>1 - 2.07.2014</t>
  </si>
  <si>
    <t>Rental car</t>
  </si>
  <si>
    <t>1.07.2014</t>
  </si>
  <si>
    <t>21.08.2014</t>
  </si>
  <si>
    <t>Airfare</t>
  </si>
  <si>
    <t xml:space="preserve">Wellington/Auckland </t>
  </si>
  <si>
    <t xml:space="preserve">2.07.2014 </t>
  </si>
  <si>
    <t xml:space="preserve">Auckland/Wellington </t>
  </si>
  <si>
    <t>Wellington/Auckland return</t>
  </si>
  <si>
    <t>11 - 15.07.2014</t>
  </si>
  <si>
    <t>29.07.2014</t>
  </si>
  <si>
    <t>Auckland/Wellington return</t>
  </si>
  <si>
    <t>14.08.2014</t>
  </si>
  <si>
    <t>19 - 21.08.204</t>
  </si>
  <si>
    <t>29.08.2014</t>
  </si>
  <si>
    <t>1.10.2014</t>
  </si>
  <si>
    <t>7 - 8.09.2014</t>
  </si>
  <si>
    <t>11.09.2014</t>
  </si>
  <si>
    <t>Wellington/Christchurch return</t>
  </si>
  <si>
    <t>23.09.2014</t>
  </si>
  <si>
    <t>Wellington/Tauranga</t>
  </si>
  <si>
    <t>15.10.2014</t>
  </si>
  <si>
    <t>Auckland/Wellington</t>
  </si>
  <si>
    <t>21.10.2014</t>
  </si>
  <si>
    <t>13.10.2014</t>
  </si>
  <si>
    <t>16 - 17.10.2014</t>
  </si>
  <si>
    <t>20.11.2014</t>
  </si>
  <si>
    <t>27.11.2014</t>
  </si>
  <si>
    <t>3.12.2014</t>
  </si>
  <si>
    <t>18.12.2014</t>
  </si>
  <si>
    <t>5.12.2014</t>
  </si>
  <si>
    <t>Total travel expenses 
for the period</t>
  </si>
  <si>
    <t>28 - 30.01.2015</t>
  </si>
  <si>
    <t>26.02.2015</t>
  </si>
  <si>
    <t>19 - 20.02.2015</t>
  </si>
  <si>
    <t>Wellington/Christchurch/Auckland</t>
  </si>
  <si>
    <t>4 - 8.03.2015</t>
  </si>
  <si>
    <t>13 - 15.03.2015</t>
  </si>
  <si>
    <t>19 - 22.03.2015</t>
  </si>
  <si>
    <t>26.03.2015</t>
  </si>
  <si>
    <t>14 - 15.04.2015</t>
  </si>
  <si>
    <t>14.05.2015</t>
  </si>
  <si>
    <t>28 - 29.04.2015</t>
  </si>
  <si>
    <t>29.05.2015</t>
  </si>
  <si>
    <t>22.05.2015</t>
  </si>
  <si>
    <t>Bus fare</t>
  </si>
  <si>
    <t>20.08.2014</t>
  </si>
  <si>
    <t>15.04.2015</t>
  </si>
  <si>
    <t>Meal</t>
  </si>
  <si>
    <t>Meal allowances</t>
  </si>
  <si>
    <t>Meals</t>
  </si>
  <si>
    <t>Christchurch</t>
  </si>
  <si>
    <t>1 - 4.03.2015</t>
  </si>
  <si>
    <t>4.12.2014</t>
  </si>
  <si>
    <t>23 - 26.03.2015</t>
  </si>
  <si>
    <t>9 - 13.03.2015</t>
  </si>
  <si>
    <t>11.07.2014</t>
  </si>
  <si>
    <t>11 - 14.07.2014</t>
  </si>
  <si>
    <t>14.07.2014</t>
  </si>
  <si>
    <t>Motor vehicle allowance</t>
  </si>
  <si>
    <t>24 - 29.05.2015</t>
  </si>
  <si>
    <t>15.07.2014</t>
  </si>
  <si>
    <t>2.07.2014</t>
  </si>
  <si>
    <t>24.07.2014</t>
  </si>
  <si>
    <t>19.08.2014</t>
  </si>
  <si>
    <t>2.09.2014</t>
  </si>
  <si>
    <t>10.10.2014</t>
  </si>
  <si>
    <t>14.10.2014</t>
  </si>
  <si>
    <t>6.10.2014</t>
  </si>
  <si>
    <t>8.09.2014</t>
  </si>
  <si>
    <t>12.11.2014</t>
  </si>
  <si>
    <t>11.11.2014</t>
  </si>
  <si>
    <t>14.11.2014</t>
  </si>
  <si>
    <t>5.11.2014</t>
  </si>
  <si>
    <t>18.11.2014</t>
  </si>
  <si>
    <t>30.11.2014</t>
  </si>
  <si>
    <t>30.01.2015</t>
  </si>
  <si>
    <t>28.01.2015</t>
  </si>
  <si>
    <t>4.12.2015</t>
  </si>
  <si>
    <t>3.12.2015</t>
  </si>
  <si>
    <t>6.02.2015</t>
  </si>
  <si>
    <t>9.02.2015</t>
  </si>
  <si>
    <t>11.02.2015</t>
  </si>
  <si>
    <t>4.02.2015</t>
  </si>
  <si>
    <t>25.02.2015</t>
  </si>
  <si>
    <t>19.02.2015</t>
  </si>
  <si>
    <t>27.02.2015</t>
  </si>
  <si>
    <t>20.02.2015</t>
  </si>
  <si>
    <t>5.03.2015</t>
  </si>
  <si>
    <t>4.03.2015</t>
  </si>
  <si>
    <t>2.03.2015</t>
  </si>
  <si>
    <t>20.03.2015</t>
  </si>
  <si>
    <t>19.03.2015</t>
  </si>
  <si>
    <t>15.03.2015</t>
  </si>
  <si>
    <t>13.03.2015</t>
  </si>
  <si>
    <t>7.04.2015</t>
  </si>
  <si>
    <t>14.04.2015</t>
  </si>
  <si>
    <t>28.04.2015</t>
  </si>
  <si>
    <t>15.05.2015</t>
  </si>
  <si>
    <t>11.05.2015</t>
  </si>
  <si>
    <t>9.05.2015</t>
  </si>
  <si>
    <t>16.10.2014</t>
  </si>
  <si>
    <t>17.10.2014</t>
  </si>
  <si>
    <t>17 - 22.05.2015</t>
  </si>
  <si>
    <t>Accommodation</t>
  </si>
  <si>
    <t>3.02.2015</t>
  </si>
  <si>
    <t>31.03.2015</t>
  </si>
  <si>
    <t>Membership subscription</t>
  </si>
  <si>
    <t>18.06.2015</t>
  </si>
  <si>
    <t>18.09.2014</t>
  </si>
  <si>
    <t>11 - 14.05.2015</t>
  </si>
  <si>
    <t>Total other expenses for the period</t>
  </si>
  <si>
    <t>Total hospitality expenses for the period</t>
  </si>
  <si>
    <t>Purpose</t>
  </si>
  <si>
    <t>Attendance at meeting on the Four-year Plan process</t>
  </si>
  <si>
    <t>Airfare cancellation fee</t>
  </si>
  <si>
    <t>Attendance at National Te Ropu Wahine Maori Toko I te Ora Conference</t>
  </si>
  <si>
    <t>Attendance at meeting at the Fijian High Commission</t>
  </si>
  <si>
    <t>Attendance at State Services Commission meeting</t>
  </si>
  <si>
    <t>Attendance at meeting with the Minister for Pacific Peoples and Auckland based staff</t>
  </si>
  <si>
    <t>11 - 14.11.2014</t>
  </si>
  <si>
    <t>Attendance at meeting with NZ Police</t>
  </si>
  <si>
    <t>Attendance at Ceremony for the Samoan Head of State</t>
  </si>
  <si>
    <t>27 - 30.11.2014</t>
  </si>
  <si>
    <t>Attendance at Waitangi Day celebrations with Governor General</t>
  </si>
  <si>
    <t>Attendance at Ministry of Education meeting</t>
  </si>
  <si>
    <t>Car parking</t>
  </si>
  <si>
    <t>Airport car parking</t>
  </si>
  <si>
    <t>Airport car parking in lieu of Auckland taxis</t>
  </si>
  <si>
    <t>Attendance at Pacific Woman's Conference</t>
  </si>
  <si>
    <t>Airport car parking in lieu of taxi</t>
  </si>
  <si>
    <t xml:space="preserve">Airport car parking in lieu of taxi </t>
  </si>
  <si>
    <t>Lunch: meeting with Ministry of Transport official</t>
  </si>
  <si>
    <t>Morning tea for Kaute Pasifika</t>
  </si>
  <si>
    <t>Human Resources Institute of New Zealand membership fee</t>
  </si>
  <si>
    <t>N/A</t>
  </si>
  <si>
    <t>Event</t>
  </si>
  <si>
    <t>New Zealand Institute of Management membership</t>
  </si>
  <si>
    <t>Period 01/07/2014 - 30/06/2015</t>
  </si>
  <si>
    <t>Hopsitality</t>
  </si>
  <si>
    <t>Non-Credit Card expenses</t>
  </si>
  <si>
    <t>Attendance at memorial service, Ashburton</t>
  </si>
  <si>
    <t>Representation on a NZ Police recruitment panel</t>
  </si>
  <si>
    <t>Auckland regional engagement</t>
  </si>
  <si>
    <t>Representation of scholarship interview panel</t>
  </si>
  <si>
    <t>Christchurch regional engagement</t>
  </si>
  <si>
    <t>Auckland regional engagement and meetings with Auckland based staff</t>
  </si>
  <si>
    <t>Attendance at Samoan commemorative event</t>
  </si>
  <si>
    <t>Attendance at ministerial event</t>
  </si>
  <si>
    <t>Attendance at NGO powhiri</t>
  </si>
  <si>
    <t>Attendance at annual conference for Pacific Police Commissioners</t>
  </si>
  <si>
    <t>Attendance Pacific awards event</t>
  </si>
  <si>
    <t>Presentation to a conference on women in leadership</t>
  </si>
  <si>
    <t>Attendance at meeting with the Minister for Pacific Peoples and Auckland regional engagement</t>
  </si>
  <si>
    <t>Attendance at powhiri for Pacific delegation</t>
  </si>
  <si>
    <t>Attendance at meeting at Statistics New Zealand</t>
  </si>
  <si>
    <t>Ipad and iPad cover</t>
  </si>
  <si>
    <t>Equipment</t>
  </si>
  <si>
    <t>31.08.2014</t>
  </si>
  <si>
    <t>31.07.2014</t>
  </si>
  <si>
    <t>30.09.2014</t>
  </si>
  <si>
    <t>31.10.2014</t>
  </si>
  <si>
    <t>31.12.2014</t>
  </si>
  <si>
    <t>31.01.2015</t>
  </si>
  <si>
    <t>10.01.2015</t>
  </si>
  <si>
    <t>28.02.2015</t>
  </si>
  <si>
    <t>30.04.2015</t>
  </si>
  <si>
    <t>31.05.2015</t>
  </si>
  <si>
    <t>30.06.2015</t>
  </si>
  <si>
    <t>Mobile phone and iPad charges - February</t>
  </si>
  <si>
    <t>Mobile phone and iPad charges - March</t>
  </si>
  <si>
    <t>Mobile phone and iPad charges - April</t>
  </si>
  <si>
    <t>Mobile phone and iPad charges - May</t>
  </si>
  <si>
    <t>Mobile phone and iPad charges - June</t>
  </si>
  <si>
    <t>Mobile phone charges - July</t>
  </si>
  <si>
    <t>Mobile phone charges - August</t>
  </si>
  <si>
    <t>Mobile phone charges - September</t>
  </si>
  <si>
    <t>Mobile phone charges - October</t>
  </si>
  <si>
    <t>Mobile phone charges - November</t>
  </si>
  <si>
    <t>Mobile phone charges - December</t>
  </si>
  <si>
    <t>Mobile phone charges - January</t>
  </si>
  <si>
    <t>Chief Executive roundtable event on developments in ICT</t>
  </si>
  <si>
    <t>HRINZ Annual Awards attendance</t>
  </si>
  <si>
    <t>Technology</t>
  </si>
  <si>
    <t>Attendance at Audit, Risk and Assurance meeting in Auckland</t>
  </si>
  <si>
    <t>Attendance at Assurance Risk Advisory Committee and Christchurch regional engagement</t>
  </si>
  <si>
    <t>Meal &amp; incidentals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</si>
</sst>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/mm/yyyy;@"/>
  </numFmts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4" borderId="2" xfId="0" applyFill="1" applyBorder="1" applyAlignment="1"/>
    <xf numFmtId="0" fontId="5" fillId="4" borderId="2" xfId="0" applyFont="1" applyFill="1" applyBorder="1" applyAlignment="1">
      <alignment horizontal="justify" wrapText="1"/>
    </xf>
    <xf numFmtId="0" fontId="5" fillId="4" borderId="2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43" fontId="1" fillId="4" borderId="2" xfId="0" applyNumberFormat="1" applyFont="1" applyFill="1" applyBorder="1" applyAlignment="1"/>
    <xf numFmtId="43" fontId="1" fillId="0" borderId="1" xfId="0" applyNumberFormat="1" applyFont="1" applyBorder="1" applyAlignment="1">
      <alignment wrapText="1"/>
    </xf>
    <xf numFmtId="14" fontId="1" fillId="0" borderId="2" xfId="0" applyNumberFormat="1" applyFont="1" applyBorder="1" applyAlignment="1">
      <alignment horizontal="left" wrapText="1"/>
    </xf>
    <xf numFmtId="43" fontId="1" fillId="0" borderId="2" xfId="0" applyNumberFormat="1" applyFont="1" applyBorder="1" applyAlignment="1">
      <alignment horizontal="right" wrapText="1"/>
    </xf>
    <xf numFmtId="14" fontId="1" fillId="0" borderId="2" xfId="0" applyNumberFormat="1" applyFont="1" applyBorder="1" applyAlignment="1">
      <alignment horizontal="left" vertical="top" wrapText="1"/>
    </xf>
    <xf numFmtId="43" fontId="1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43" fontId="1" fillId="0" borderId="2" xfId="0" applyNumberFormat="1" applyFont="1" applyBorder="1" applyAlignment="1">
      <alignment wrapText="1"/>
    </xf>
    <xf numFmtId="43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14" fontId="7" fillId="0" borderId="0" xfId="0" applyNumberFormat="1" applyFont="1" applyAlignment="1">
      <alignment horizontal="left" vertical="top" wrapText="1"/>
    </xf>
    <xf numFmtId="43" fontId="7" fillId="0" borderId="0" xfId="0" applyNumberFormat="1" applyFont="1" applyAlignment="1">
      <alignment vertical="top" wrapText="1"/>
    </xf>
    <xf numFmtId="0" fontId="7" fillId="0" borderId="0" xfId="0" applyFont="1"/>
    <xf numFmtId="14" fontId="7" fillId="0" borderId="0" xfId="0" applyNumberFormat="1" applyFont="1" applyAlignment="1">
      <alignment wrapText="1"/>
    </xf>
    <xf numFmtId="14" fontId="8" fillId="0" borderId="0" xfId="0" applyNumberFormat="1" applyFont="1" applyAlignment="1">
      <alignment horizontal="left" vertical="top" wrapText="1"/>
    </xf>
    <xf numFmtId="14" fontId="0" fillId="0" borderId="0" xfId="0" applyNumberFormat="1" applyFont="1" applyAlignment="1">
      <alignment horizontal="left" vertical="top" wrapText="1"/>
    </xf>
    <xf numFmtId="43" fontId="0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0" fillId="0" borderId="0" xfId="0" applyFont="1"/>
    <xf numFmtId="164" fontId="2" fillId="3" borderId="2" xfId="0" applyNumberFormat="1" applyFont="1" applyFill="1" applyBorder="1" applyAlignment="1">
      <alignment horizontal="left" wrapText="1"/>
    </xf>
    <xf numFmtId="164" fontId="1" fillId="0" borderId="2" xfId="0" applyNumberFormat="1" applyFont="1" applyBorder="1" applyAlignment="1">
      <alignment horizontal="left" wrapText="1"/>
    </xf>
    <xf numFmtId="164" fontId="0" fillId="0" borderId="0" xfId="0" applyNumberFormat="1" applyFont="1" applyAlignment="1">
      <alignment horizontal="left" wrapText="1"/>
    </xf>
    <xf numFmtId="164" fontId="2" fillId="5" borderId="2" xfId="0" applyNumberFormat="1" applyFont="1" applyFill="1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0" borderId="0" xfId="0" applyNumberFormat="1" applyAlignment="1">
      <alignment horizontal="left" wrapText="1"/>
    </xf>
    <xf numFmtId="44" fontId="2" fillId="3" borderId="2" xfId="0" applyNumberFormat="1" applyFont="1" applyFill="1" applyBorder="1" applyAlignment="1">
      <alignment wrapText="1"/>
    </xf>
    <xf numFmtId="44" fontId="1" fillId="0" borderId="2" xfId="0" applyNumberFormat="1" applyFont="1" applyBorder="1" applyAlignment="1">
      <alignment wrapText="1"/>
    </xf>
    <xf numFmtId="44" fontId="0" fillId="0" borderId="0" xfId="0" applyNumberFormat="1" applyFont="1" applyAlignment="1">
      <alignment wrapText="1"/>
    </xf>
    <xf numFmtId="44" fontId="2" fillId="5" borderId="2" xfId="0" applyNumberFormat="1" applyFont="1" applyFill="1" applyBorder="1" applyAlignment="1">
      <alignment wrapText="1"/>
    </xf>
    <xf numFmtId="44" fontId="0" fillId="0" borderId="1" xfId="0" applyNumberFormat="1" applyBorder="1" applyAlignment="1">
      <alignment wrapText="1"/>
    </xf>
    <xf numFmtId="44" fontId="0" fillId="0" borderId="0" xfId="0" applyNumberFormat="1" applyAlignment="1">
      <alignment wrapText="1"/>
    </xf>
    <xf numFmtId="14" fontId="0" fillId="0" borderId="0" xfId="0" applyNumberFormat="1" applyFont="1" applyAlignment="1">
      <alignment horizontal="left" wrapText="1"/>
    </xf>
    <xf numFmtId="43" fontId="0" fillId="0" borderId="0" xfId="0" applyNumberFormat="1" applyFont="1" applyAlignment="1">
      <alignment wrapText="1"/>
    </xf>
    <xf numFmtId="14" fontId="0" fillId="0" borderId="0" xfId="0" applyNumberFormat="1" applyFont="1" applyAlignment="1">
      <alignment wrapText="1"/>
    </xf>
    <xf numFmtId="14" fontId="0" fillId="0" borderId="0" xfId="0" quotePrefix="1" applyNumberFormat="1" applyFont="1" applyAlignment="1">
      <alignment horizontal="left" vertical="top" wrapText="1"/>
    </xf>
    <xf numFmtId="14" fontId="7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14" fontId="0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vertical="top" wrapText="1"/>
    </xf>
    <xf numFmtId="43" fontId="0" fillId="0" borderId="0" xfId="0" applyNumberFormat="1" applyFont="1" applyBorder="1" applyAlignment="1">
      <alignment horizontal="left" vertical="top" wrapText="1"/>
    </xf>
    <xf numFmtId="0" fontId="0" fillId="0" borderId="0" xfId="0" applyFont="1" applyFill="1" applyAlignment="1">
      <alignment vertical="top" wrapText="1"/>
    </xf>
    <xf numFmtId="43" fontId="0" fillId="0" borderId="0" xfId="0" applyNumberFormat="1" applyFont="1" applyBorder="1" applyAlignment="1">
      <alignment wrapText="1"/>
    </xf>
    <xf numFmtId="14" fontId="0" fillId="0" borderId="0" xfId="0" quotePrefix="1" applyNumberFormat="1" applyFont="1" applyFill="1" applyAlignment="1">
      <alignment horizontal="left" vertical="top" wrapText="1"/>
    </xf>
    <xf numFmtId="0" fontId="0" fillId="0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40" fontId="0" fillId="0" borderId="0" xfId="0" applyNumberFormat="1" applyFont="1" applyBorder="1" applyAlignment="1">
      <alignment horizontal="right" vertical="top" wrapText="1"/>
    </xf>
    <xf numFmtId="40" fontId="1" fillId="0" borderId="0" xfId="0" applyNumberFormat="1" applyFont="1" applyBorder="1" applyAlignment="1">
      <alignment horizontal="right" vertical="top" wrapText="1"/>
    </xf>
    <xf numFmtId="0" fontId="9" fillId="0" borderId="0" xfId="0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40" fontId="0" fillId="0" borderId="0" xfId="0" applyNumberFormat="1" applyFont="1" applyFill="1" applyBorder="1" applyAlignment="1">
      <alignment horizontal="right" vertical="top" wrapText="1"/>
    </xf>
    <xf numFmtId="43" fontId="1" fillId="0" borderId="0" xfId="0" applyNumberFormat="1" applyFont="1" applyAlignment="1">
      <alignment vertical="top" wrapText="1"/>
    </xf>
    <xf numFmtId="43" fontId="1" fillId="0" borderId="0" xfId="0" applyNumberFormat="1" applyFont="1" applyAlignment="1">
      <alignment wrapText="1"/>
    </xf>
    <xf numFmtId="0" fontId="0" fillId="0" borderId="0" xfId="0" applyFill="1"/>
    <xf numFmtId="0" fontId="11" fillId="0" borderId="0" xfId="0" applyFont="1" applyBorder="1" applyAlignment="1">
      <alignment wrapText="1"/>
    </xf>
    <xf numFmtId="0" fontId="11" fillId="0" borderId="0" xfId="0" applyFont="1" applyFill="1" applyAlignment="1">
      <alignment vertical="top" wrapText="1"/>
    </xf>
    <xf numFmtId="43" fontId="1" fillId="0" borderId="0" xfId="0" applyNumberFormat="1" applyFont="1" applyBorder="1" applyAlignment="1">
      <alignment wrapText="1"/>
    </xf>
    <xf numFmtId="0" fontId="0" fillId="0" borderId="0" xfId="0" applyBorder="1"/>
    <xf numFmtId="14" fontId="0" fillId="0" borderId="0" xfId="0" applyNumberFormat="1" applyBorder="1" applyAlignment="1">
      <alignment horizontal="left" vertical="top" wrapText="1"/>
    </xf>
    <xf numFmtId="43" fontId="0" fillId="0" borderId="0" xfId="0" applyNumberForma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14" fontId="8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vertical="top" wrapText="1"/>
    </xf>
    <xf numFmtId="43" fontId="1" fillId="4" borderId="3" xfId="0" applyNumberFormat="1" applyFont="1" applyFill="1" applyBorder="1" applyAlignment="1"/>
    <xf numFmtId="0" fontId="0" fillId="4" borderId="3" xfId="0" applyFill="1" applyBorder="1" applyAlignment="1"/>
    <xf numFmtId="0" fontId="0" fillId="4" borderId="3" xfId="0" applyFill="1" applyBorder="1" applyAlignment="1">
      <alignment wrapText="1"/>
    </xf>
    <xf numFmtId="0" fontId="0" fillId="0" borderId="0" xfId="0" applyBorder="1" applyAlignment="1">
      <alignment wrapText="1"/>
    </xf>
    <xf numFmtId="43" fontId="1" fillId="0" borderId="2" xfId="0" applyNumberFormat="1" applyFont="1" applyBorder="1" applyAlignment="1">
      <alignment horizontal="left" wrapText="1"/>
    </xf>
    <xf numFmtId="0" fontId="5" fillId="4" borderId="3" xfId="0" applyFont="1" applyFill="1" applyBorder="1" applyAlignment="1">
      <alignment horizontal="left" wrapText="1"/>
    </xf>
    <xf numFmtId="0" fontId="12" fillId="0" borderId="0" xfId="0" applyFont="1"/>
    <xf numFmtId="0" fontId="2" fillId="3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6" fillId="0" borderId="2" xfId="0" applyFont="1" applyBorder="1" applyAlignment="1">
      <alignment horizontal="justify" vertical="center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0"/>
  <sheetViews>
    <sheetView tabSelected="1" topLeftCell="A4" workbookViewId="0">
      <selection activeCell="D31" sqref="D31"/>
    </sheetView>
  </sheetViews>
  <sheetFormatPr defaultColWidth="9.140625" defaultRowHeight="12.75" x14ac:dyDescent="0.2"/>
  <cols>
    <col min="1" max="1" width="20" style="12" customWidth="1"/>
    <col min="2" max="2" width="19" style="13" customWidth="1"/>
    <col min="3" max="3" width="73.7109375" style="2" customWidth="1"/>
    <col min="4" max="4" width="27.140625" style="2" customWidth="1"/>
    <col min="5" max="5" width="28.85546875" style="2" customWidth="1"/>
    <col min="6" max="6" width="19.5703125" style="2" hidden="1" customWidth="1"/>
    <col min="7" max="7" width="28.42578125" style="2" customWidth="1"/>
    <col min="8" max="16384" width="9.140625" style="2"/>
  </cols>
  <sheetData>
    <row r="1" spans="1:5" s="81" customFormat="1" ht="39.75" customHeight="1" x14ac:dyDescent="0.25">
      <c r="A1" s="96" t="s">
        <v>19</v>
      </c>
      <c r="B1" s="97"/>
      <c r="C1" s="97"/>
      <c r="D1" s="97"/>
      <c r="E1" s="97"/>
    </row>
    <row r="2" spans="1:5" s="94" customFormat="1" ht="30" customHeight="1" x14ac:dyDescent="0.25">
      <c r="A2" s="98" t="s">
        <v>22</v>
      </c>
      <c r="B2" s="98"/>
      <c r="C2" s="98" t="s">
        <v>164</v>
      </c>
      <c r="D2" s="98"/>
      <c r="E2" s="65"/>
    </row>
    <row r="3" spans="1:5" s="81" customFormat="1" ht="30" x14ac:dyDescent="0.2">
      <c r="A3" s="67" t="s">
        <v>3</v>
      </c>
      <c r="B3" s="99" t="s">
        <v>4</v>
      </c>
      <c r="C3" s="99"/>
      <c r="D3" s="67"/>
      <c r="E3" s="67"/>
    </row>
    <row r="4" spans="1:5" s="61" customFormat="1" x14ac:dyDescent="0.2">
      <c r="A4" s="16" t="s">
        <v>0</v>
      </c>
      <c r="B4" s="17" t="s">
        <v>2</v>
      </c>
      <c r="C4" s="66" t="s">
        <v>139</v>
      </c>
      <c r="D4" s="66" t="s">
        <v>7</v>
      </c>
      <c r="E4" s="66" t="s">
        <v>1</v>
      </c>
    </row>
    <row r="5" spans="1:5" s="84" customFormat="1" x14ac:dyDescent="0.2">
      <c r="A5" s="82" t="s">
        <v>21</v>
      </c>
      <c r="B5" s="83"/>
    </row>
    <row r="6" spans="1:5" s="84" customFormat="1" x14ac:dyDescent="0.2">
      <c r="A6" s="82"/>
      <c r="B6" s="83"/>
    </row>
    <row r="7" spans="1:5" s="81" customFormat="1" ht="30" x14ac:dyDescent="0.2">
      <c r="A7" s="67" t="s">
        <v>3</v>
      </c>
      <c r="B7" s="99" t="s">
        <v>166</v>
      </c>
      <c r="C7" s="99"/>
      <c r="D7" s="67"/>
      <c r="E7" s="67"/>
    </row>
    <row r="8" spans="1:5" s="85" customFormat="1" x14ac:dyDescent="0.2">
      <c r="A8" s="18" t="s">
        <v>0</v>
      </c>
      <c r="B8" s="19" t="s">
        <v>2</v>
      </c>
      <c r="C8" s="66" t="s">
        <v>139</v>
      </c>
      <c r="D8" s="66" t="s">
        <v>7</v>
      </c>
      <c r="E8" s="66" t="s">
        <v>1</v>
      </c>
    </row>
    <row r="9" spans="1:5" s="84" customFormat="1" x14ac:dyDescent="0.2">
      <c r="A9" s="82" t="s">
        <v>21</v>
      </c>
      <c r="B9" s="83"/>
    </row>
    <row r="10" spans="1:5" s="84" customFormat="1" x14ac:dyDescent="0.2">
      <c r="A10" s="82"/>
      <c r="B10" s="83"/>
    </row>
    <row r="11" spans="1:5" s="81" customFormat="1" ht="15" x14ac:dyDescent="0.2">
      <c r="A11" s="35" t="s">
        <v>5</v>
      </c>
      <c r="B11" s="95" t="s">
        <v>4</v>
      </c>
      <c r="C11" s="95"/>
      <c r="D11" s="41"/>
      <c r="E11" s="68"/>
    </row>
    <row r="12" spans="1:5" s="85" customFormat="1" x14ac:dyDescent="0.2">
      <c r="A12" s="18" t="s">
        <v>0</v>
      </c>
      <c r="B12" s="19" t="s">
        <v>2</v>
      </c>
      <c r="C12" s="20" t="s">
        <v>139</v>
      </c>
      <c r="D12" s="66" t="s">
        <v>7</v>
      </c>
      <c r="E12" s="20" t="s">
        <v>1</v>
      </c>
    </row>
    <row r="13" spans="1:5" s="55" customFormat="1" ht="13.15" customHeight="1" x14ac:dyDescent="0.2">
      <c r="A13" s="54" t="s">
        <v>28</v>
      </c>
      <c r="B13" s="70">
        <v>11</v>
      </c>
      <c r="C13" s="55" t="s">
        <v>169</v>
      </c>
      <c r="D13" s="55" t="s">
        <v>152</v>
      </c>
      <c r="E13" s="55" t="s">
        <v>23</v>
      </c>
    </row>
    <row r="14" spans="1:5" s="55" customFormat="1" x14ac:dyDescent="0.2">
      <c r="A14" s="54" t="s">
        <v>29</v>
      </c>
      <c r="B14" s="70">
        <v>6.5</v>
      </c>
      <c r="C14" s="55" t="s">
        <v>169</v>
      </c>
      <c r="D14" s="55" t="s">
        <v>152</v>
      </c>
      <c r="E14" s="55" t="s">
        <v>23</v>
      </c>
    </row>
    <row r="15" spans="1:5" s="55" customFormat="1" x14ac:dyDescent="0.2">
      <c r="A15" s="54"/>
      <c r="B15" s="70"/>
    </row>
    <row r="16" spans="1:5" s="87" customFormat="1" x14ac:dyDescent="0.2">
      <c r="A16" s="86" t="s">
        <v>20</v>
      </c>
      <c r="B16" s="71">
        <f>SUM(B13:B14)</f>
        <v>17.5</v>
      </c>
    </row>
    <row r="17" spans="1:5" s="84" customFormat="1" x14ac:dyDescent="0.2">
      <c r="A17" s="82"/>
      <c r="B17" s="83"/>
    </row>
    <row r="18" spans="1:5" s="81" customFormat="1" ht="15" x14ac:dyDescent="0.2">
      <c r="A18" s="35" t="s">
        <v>5</v>
      </c>
      <c r="B18" s="95" t="s">
        <v>166</v>
      </c>
      <c r="C18" s="95"/>
      <c r="D18" s="41"/>
      <c r="E18" s="68"/>
    </row>
    <row r="19" spans="1:5" s="85" customFormat="1" x14ac:dyDescent="0.2">
      <c r="A19" s="18" t="s">
        <v>0</v>
      </c>
      <c r="B19" s="19" t="s">
        <v>2</v>
      </c>
      <c r="C19" s="20" t="s">
        <v>139</v>
      </c>
      <c r="D19" s="66" t="s">
        <v>7</v>
      </c>
      <c r="E19" s="20" t="s">
        <v>1</v>
      </c>
    </row>
    <row r="20" spans="1:5" s="57" customFormat="1" x14ac:dyDescent="0.2">
      <c r="A20" s="59" t="s">
        <v>28</v>
      </c>
      <c r="B20" s="70">
        <f>19.22</f>
        <v>19.22</v>
      </c>
      <c r="C20" s="55" t="s">
        <v>169</v>
      </c>
      <c r="D20" s="57" t="s">
        <v>24</v>
      </c>
      <c r="E20" s="57" t="s">
        <v>23</v>
      </c>
    </row>
    <row r="21" spans="1:5" s="57" customFormat="1" x14ac:dyDescent="0.2">
      <c r="A21" s="59" t="s">
        <v>26</v>
      </c>
      <c r="B21" s="70">
        <v>118.22</v>
      </c>
      <c r="C21" s="55" t="s">
        <v>169</v>
      </c>
      <c r="D21" s="57" t="s">
        <v>27</v>
      </c>
      <c r="E21" s="57" t="s">
        <v>23</v>
      </c>
    </row>
    <row r="22" spans="1:5" s="57" customFormat="1" x14ac:dyDescent="0.2">
      <c r="A22" s="59" t="s">
        <v>26</v>
      </c>
      <c r="B22" s="70">
        <f>3.5</f>
        <v>3.5</v>
      </c>
      <c r="C22" s="55" t="s">
        <v>169</v>
      </c>
      <c r="D22" s="57" t="s">
        <v>152</v>
      </c>
      <c r="E22" s="57" t="s">
        <v>23</v>
      </c>
    </row>
    <row r="23" spans="1:5" s="57" customFormat="1" x14ac:dyDescent="0.2">
      <c r="A23" s="59" t="s">
        <v>32</v>
      </c>
      <c r="B23" s="70">
        <f>224.5</f>
        <v>224.5</v>
      </c>
      <c r="C23" s="55" t="s">
        <v>169</v>
      </c>
      <c r="D23" s="32" t="s">
        <v>30</v>
      </c>
      <c r="E23" s="57" t="s">
        <v>33</v>
      </c>
    </row>
    <row r="24" spans="1:5" s="57" customFormat="1" x14ac:dyDescent="0.2">
      <c r="A24" s="59" t="s">
        <v>88</v>
      </c>
      <c r="B24" s="70">
        <f>40.72</f>
        <v>40.72</v>
      </c>
      <c r="C24" s="55" t="s">
        <v>169</v>
      </c>
      <c r="D24" s="57" t="s">
        <v>24</v>
      </c>
      <c r="E24" s="57" t="s">
        <v>25</v>
      </c>
    </row>
    <row r="25" spans="1:5" s="57" customFormat="1" x14ac:dyDescent="0.2">
      <c r="A25" s="59" t="s">
        <v>26</v>
      </c>
      <c r="B25" s="70">
        <f>7.9+62.8</f>
        <v>70.7</v>
      </c>
      <c r="C25" s="55" t="s">
        <v>169</v>
      </c>
      <c r="D25" s="57" t="s">
        <v>212</v>
      </c>
      <c r="E25" s="57" t="s">
        <v>23</v>
      </c>
    </row>
    <row r="26" spans="1:5" s="57" customFormat="1" x14ac:dyDescent="0.2">
      <c r="A26" s="59"/>
      <c r="B26" s="70"/>
    </row>
    <row r="27" spans="1:5" s="57" customFormat="1" x14ac:dyDescent="0.2">
      <c r="A27" s="59" t="s">
        <v>35</v>
      </c>
      <c r="B27" s="70">
        <f>491</f>
        <v>491</v>
      </c>
      <c r="C27" s="55" t="s">
        <v>169</v>
      </c>
      <c r="D27" s="57" t="s">
        <v>30</v>
      </c>
      <c r="E27" s="57" t="s">
        <v>34</v>
      </c>
    </row>
    <row r="28" spans="1:5" s="57" customFormat="1" x14ac:dyDescent="0.2">
      <c r="A28" s="59" t="s">
        <v>82</v>
      </c>
      <c r="B28" s="70">
        <f>39.1</f>
        <v>39.1</v>
      </c>
      <c r="C28" s="55" t="s">
        <v>169</v>
      </c>
      <c r="D28" s="57" t="s">
        <v>24</v>
      </c>
      <c r="E28" s="57" t="s">
        <v>25</v>
      </c>
    </row>
    <row r="29" spans="1:5" s="57" customFormat="1" x14ac:dyDescent="0.2">
      <c r="A29" s="59" t="s">
        <v>82</v>
      </c>
      <c r="B29" s="70">
        <f>115.78</f>
        <v>115.78</v>
      </c>
      <c r="C29" s="55" t="s">
        <v>169</v>
      </c>
      <c r="D29" s="57" t="s">
        <v>24</v>
      </c>
      <c r="E29" s="57" t="s">
        <v>23</v>
      </c>
    </row>
    <row r="30" spans="1:5" s="57" customFormat="1" x14ac:dyDescent="0.2">
      <c r="A30" s="59" t="s">
        <v>82</v>
      </c>
      <c r="B30" s="70">
        <f>4</f>
        <v>4</v>
      </c>
      <c r="C30" s="55" t="s">
        <v>169</v>
      </c>
      <c r="D30" s="32" t="s">
        <v>71</v>
      </c>
      <c r="E30" s="57" t="s">
        <v>23</v>
      </c>
    </row>
    <row r="31" spans="1:5" s="57" customFormat="1" x14ac:dyDescent="0.2">
      <c r="A31" s="59" t="s">
        <v>83</v>
      </c>
      <c r="B31" s="70">
        <f>42.3</f>
        <v>42.3</v>
      </c>
      <c r="C31" s="55" t="s">
        <v>169</v>
      </c>
      <c r="D31" s="57" t="s">
        <v>212</v>
      </c>
      <c r="E31" s="57" t="s">
        <v>23</v>
      </c>
    </row>
    <row r="32" spans="1:5" s="57" customFormat="1" x14ac:dyDescent="0.2">
      <c r="A32" s="59" t="s">
        <v>84</v>
      </c>
      <c r="B32" s="70">
        <f>30.8</f>
        <v>30.8</v>
      </c>
      <c r="C32" s="55" t="s">
        <v>169</v>
      </c>
      <c r="D32" s="57" t="s">
        <v>85</v>
      </c>
      <c r="E32" s="57" t="s">
        <v>23</v>
      </c>
    </row>
    <row r="33" spans="1:5" s="57" customFormat="1" x14ac:dyDescent="0.2">
      <c r="A33" s="59" t="s">
        <v>87</v>
      </c>
      <c r="B33" s="70">
        <f>84.025</f>
        <v>84.025000000000006</v>
      </c>
      <c r="C33" s="55" t="s">
        <v>169</v>
      </c>
      <c r="D33" s="57" t="s">
        <v>24</v>
      </c>
      <c r="E33" s="57" t="s">
        <v>23</v>
      </c>
    </row>
    <row r="34" spans="1:5" s="57" customFormat="1" x14ac:dyDescent="0.2">
      <c r="A34" s="59" t="s">
        <v>87</v>
      </c>
      <c r="B34" s="70">
        <f>46.66</f>
        <v>46.66</v>
      </c>
      <c r="C34" s="55" t="s">
        <v>169</v>
      </c>
      <c r="D34" s="57" t="s">
        <v>24</v>
      </c>
      <c r="E34" s="57" t="s">
        <v>25</v>
      </c>
    </row>
    <row r="35" spans="1:5" s="57" customFormat="1" x14ac:dyDescent="0.2">
      <c r="A35" s="59"/>
      <c r="B35" s="70"/>
    </row>
    <row r="36" spans="1:5" s="57" customFormat="1" x14ac:dyDescent="0.2">
      <c r="A36" s="59" t="s">
        <v>89</v>
      </c>
      <c r="B36" s="70">
        <f>10.04</f>
        <v>10.039999999999999</v>
      </c>
      <c r="C36" s="57" t="s">
        <v>174</v>
      </c>
      <c r="D36" s="57" t="s">
        <v>24</v>
      </c>
      <c r="E36" s="57" t="s">
        <v>25</v>
      </c>
    </row>
    <row r="37" spans="1:5" s="57" customFormat="1" x14ac:dyDescent="0.2">
      <c r="A37" s="59"/>
      <c r="B37" s="70"/>
    </row>
    <row r="38" spans="1:5" s="57" customFormat="1" x14ac:dyDescent="0.2">
      <c r="A38" s="59" t="s">
        <v>36</v>
      </c>
      <c r="B38" s="70">
        <f>68.69</f>
        <v>68.69</v>
      </c>
      <c r="C38" s="55" t="s">
        <v>169</v>
      </c>
      <c r="D38" s="57" t="s">
        <v>24</v>
      </c>
      <c r="E38" s="57" t="s">
        <v>23</v>
      </c>
    </row>
    <row r="39" spans="1:5" s="57" customFormat="1" x14ac:dyDescent="0.2">
      <c r="A39" s="59" t="s">
        <v>36</v>
      </c>
      <c r="B39" s="70">
        <f>48.71</f>
        <v>48.71</v>
      </c>
      <c r="C39" s="55" t="s">
        <v>169</v>
      </c>
      <c r="D39" s="57" t="s">
        <v>24</v>
      </c>
      <c r="E39" s="57" t="s">
        <v>25</v>
      </c>
    </row>
    <row r="40" spans="1:5" s="57" customFormat="1" x14ac:dyDescent="0.2">
      <c r="A40" s="59"/>
      <c r="B40" s="70"/>
      <c r="C40" s="73"/>
    </row>
    <row r="41" spans="1:5" s="57" customFormat="1" x14ac:dyDescent="0.2">
      <c r="A41" s="59" t="s">
        <v>38</v>
      </c>
      <c r="B41" s="70">
        <f>10.48</f>
        <v>10.48</v>
      </c>
      <c r="C41" s="57" t="s">
        <v>140</v>
      </c>
      <c r="D41" s="57" t="s">
        <v>24</v>
      </c>
      <c r="E41" s="57" t="s">
        <v>25</v>
      </c>
    </row>
    <row r="42" spans="1:5" s="57" customFormat="1" x14ac:dyDescent="0.2">
      <c r="A42" s="59"/>
      <c r="B42" s="70"/>
    </row>
    <row r="43" spans="1:5" s="57" customFormat="1" x14ac:dyDescent="0.2">
      <c r="A43" s="59" t="s">
        <v>38</v>
      </c>
      <c r="B43" s="70">
        <f>42.98</f>
        <v>42.98</v>
      </c>
      <c r="C43" s="57" t="s">
        <v>170</v>
      </c>
      <c r="D43" s="57" t="s">
        <v>24</v>
      </c>
      <c r="E43" s="57" t="s">
        <v>25</v>
      </c>
    </row>
    <row r="44" spans="1:5" s="57" customFormat="1" x14ac:dyDescent="0.2">
      <c r="A44" s="59" t="s">
        <v>38</v>
      </c>
      <c r="B44" s="70">
        <f>292+9.3</f>
        <v>301.3</v>
      </c>
      <c r="C44" s="57" t="s">
        <v>170</v>
      </c>
      <c r="D44" s="57" t="s">
        <v>30</v>
      </c>
      <c r="E44" s="57" t="s">
        <v>31</v>
      </c>
    </row>
    <row r="45" spans="1:5" s="57" customFormat="1" x14ac:dyDescent="0.2">
      <c r="A45" s="59"/>
      <c r="B45" s="70"/>
    </row>
    <row r="46" spans="1:5" s="57" customFormat="1" x14ac:dyDescent="0.2">
      <c r="A46" s="59" t="s">
        <v>90</v>
      </c>
      <c r="B46" s="70">
        <f>38.34</f>
        <v>38.340000000000003</v>
      </c>
      <c r="C46" s="55" t="s">
        <v>172</v>
      </c>
      <c r="D46" s="57" t="s">
        <v>24</v>
      </c>
      <c r="E46" s="57" t="s">
        <v>25</v>
      </c>
    </row>
    <row r="47" spans="1:5" s="57" customFormat="1" x14ac:dyDescent="0.2">
      <c r="A47" s="59" t="s">
        <v>39</v>
      </c>
      <c r="B47" s="70">
        <f>468+55.8</f>
        <v>523.79999999999995</v>
      </c>
      <c r="C47" s="55" t="s">
        <v>172</v>
      </c>
      <c r="D47" s="57" t="s">
        <v>30</v>
      </c>
      <c r="E47" s="57" t="s">
        <v>31</v>
      </c>
    </row>
    <row r="48" spans="1:5" s="57" customFormat="1" x14ac:dyDescent="0.2">
      <c r="A48" s="59" t="s">
        <v>90</v>
      </c>
      <c r="B48" s="70">
        <f>83.16</f>
        <v>83.16</v>
      </c>
      <c r="C48" s="55" t="s">
        <v>172</v>
      </c>
      <c r="D48" s="57" t="s">
        <v>24</v>
      </c>
      <c r="E48" s="57" t="s">
        <v>23</v>
      </c>
    </row>
    <row r="49" spans="1:5" s="57" customFormat="1" x14ac:dyDescent="0.2">
      <c r="A49" s="59" t="s">
        <v>72</v>
      </c>
      <c r="B49" s="70">
        <f>6.5</f>
        <v>6.5</v>
      </c>
      <c r="C49" s="55" t="s">
        <v>172</v>
      </c>
      <c r="D49" s="57" t="s">
        <v>152</v>
      </c>
      <c r="E49" s="57" t="s">
        <v>23</v>
      </c>
    </row>
    <row r="50" spans="1:5" s="57" customFormat="1" x14ac:dyDescent="0.2">
      <c r="A50" s="59" t="s">
        <v>29</v>
      </c>
      <c r="B50" s="70">
        <f>82.3</f>
        <v>82.3</v>
      </c>
      <c r="C50" s="55" t="s">
        <v>172</v>
      </c>
      <c r="D50" s="57" t="s">
        <v>24</v>
      </c>
      <c r="E50" s="57" t="s">
        <v>23</v>
      </c>
    </row>
    <row r="51" spans="1:5" s="57" customFormat="1" x14ac:dyDescent="0.2">
      <c r="A51" s="59" t="s">
        <v>29</v>
      </c>
      <c r="B51" s="70">
        <f>51.19</f>
        <v>51.19</v>
      </c>
      <c r="C51" s="55" t="s">
        <v>172</v>
      </c>
      <c r="D51" s="57" t="s">
        <v>24</v>
      </c>
      <c r="E51" s="57" t="s">
        <v>25</v>
      </c>
    </row>
    <row r="52" spans="1:5" s="57" customFormat="1" x14ac:dyDescent="0.2">
      <c r="A52" s="59"/>
      <c r="B52" s="70"/>
    </row>
    <row r="53" spans="1:5" s="57" customFormat="1" x14ac:dyDescent="0.2">
      <c r="A53" s="59" t="s">
        <v>40</v>
      </c>
      <c r="B53" s="70">
        <f>31.32</f>
        <v>31.32</v>
      </c>
      <c r="C53" s="55" t="s">
        <v>173</v>
      </c>
      <c r="D53" s="57" t="s">
        <v>24</v>
      </c>
      <c r="E53" s="57" t="s">
        <v>25</v>
      </c>
    </row>
    <row r="54" spans="1:5" s="57" customFormat="1" x14ac:dyDescent="0.2">
      <c r="A54" s="59" t="s">
        <v>40</v>
      </c>
      <c r="B54" s="70">
        <f>292+9.3</f>
        <v>301.3</v>
      </c>
      <c r="C54" s="55" t="s">
        <v>173</v>
      </c>
      <c r="D54" s="57" t="s">
        <v>30</v>
      </c>
      <c r="E54" s="57" t="s">
        <v>31</v>
      </c>
    </row>
    <row r="55" spans="1:5" s="57" customFormat="1" x14ac:dyDescent="0.2">
      <c r="A55" s="59" t="s">
        <v>40</v>
      </c>
      <c r="B55" s="70">
        <f>17.71</f>
        <v>17.71</v>
      </c>
      <c r="C55" s="55" t="s">
        <v>173</v>
      </c>
      <c r="D55" s="57" t="s">
        <v>24</v>
      </c>
      <c r="E55" s="57" t="s">
        <v>23</v>
      </c>
    </row>
    <row r="56" spans="1:5" s="57" customFormat="1" x14ac:dyDescent="0.2">
      <c r="A56" s="59"/>
      <c r="B56" s="70"/>
    </row>
    <row r="57" spans="1:5" s="57" customFormat="1" x14ac:dyDescent="0.2">
      <c r="A57" s="59" t="s">
        <v>91</v>
      </c>
      <c r="B57" s="70">
        <f>10.8</f>
        <v>10.8</v>
      </c>
      <c r="C57" s="79" t="s">
        <v>168</v>
      </c>
      <c r="D57" s="57" t="s">
        <v>24</v>
      </c>
      <c r="E57" s="57" t="s">
        <v>25</v>
      </c>
    </row>
    <row r="58" spans="1:5" s="57" customFormat="1" x14ac:dyDescent="0.2">
      <c r="A58" s="59"/>
      <c r="B58" s="70"/>
    </row>
    <row r="59" spans="1:5" s="57" customFormat="1" x14ac:dyDescent="0.2">
      <c r="A59" s="59" t="s">
        <v>42</v>
      </c>
      <c r="B59" s="70">
        <f>40+9.3</f>
        <v>49.3</v>
      </c>
      <c r="C59" s="57" t="s">
        <v>141</v>
      </c>
      <c r="D59" s="57" t="s">
        <v>30</v>
      </c>
      <c r="E59" s="57" t="s">
        <v>34</v>
      </c>
    </row>
    <row r="60" spans="1:5" s="57" customFormat="1" x14ac:dyDescent="0.2">
      <c r="A60" s="59"/>
      <c r="B60" s="70"/>
    </row>
    <row r="61" spans="1:5" s="57" customFormat="1" x14ac:dyDescent="0.2">
      <c r="A61" s="59" t="s">
        <v>95</v>
      </c>
      <c r="B61" s="70">
        <f>96.77</f>
        <v>96.77</v>
      </c>
      <c r="C61" s="79" t="s">
        <v>210</v>
      </c>
      <c r="D61" s="57" t="s">
        <v>24</v>
      </c>
      <c r="E61" s="57" t="s">
        <v>23</v>
      </c>
    </row>
    <row r="62" spans="1:5" s="57" customFormat="1" x14ac:dyDescent="0.2">
      <c r="A62" s="59"/>
      <c r="B62" s="70"/>
      <c r="C62" s="79"/>
    </row>
    <row r="63" spans="1:5" s="57" customFormat="1" x14ac:dyDescent="0.2">
      <c r="A63" s="59" t="s">
        <v>43</v>
      </c>
      <c r="B63" s="70">
        <f>47.84</f>
        <v>47.84</v>
      </c>
      <c r="C63" s="79" t="s">
        <v>167</v>
      </c>
      <c r="D63" s="57" t="s">
        <v>24</v>
      </c>
      <c r="E63" s="57" t="s">
        <v>25</v>
      </c>
    </row>
    <row r="64" spans="1:5" s="57" customFormat="1" x14ac:dyDescent="0.2">
      <c r="A64" s="59" t="s">
        <v>43</v>
      </c>
      <c r="B64" s="70">
        <f>403+95</f>
        <v>498</v>
      </c>
      <c r="C64" s="79" t="s">
        <v>167</v>
      </c>
      <c r="D64" s="57" t="s">
        <v>30</v>
      </c>
      <c r="E64" s="57" t="s">
        <v>44</v>
      </c>
    </row>
    <row r="65" spans="1:5" s="57" customFormat="1" x14ac:dyDescent="0.2">
      <c r="A65" s="59" t="s">
        <v>43</v>
      </c>
      <c r="B65" s="70">
        <f>40.07</f>
        <v>40.07</v>
      </c>
      <c r="C65" s="79" t="s">
        <v>167</v>
      </c>
      <c r="D65" s="57" t="s">
        <v>24</v>
      </c>
      <c r="E65" s="57" t="s">
        <v>25</v>
      </c>
    </row>
    <row r="66" spans="1:5" s="57" customFormat="1" x14ac:dyDescent="0.2">
      <c r="A66" s="59"/>
      <c r="B66" s="70"/>
      <c r="C66" s="72"/>
    </row>
    <row r="67" spans="1:5" s="57" customFormat="1" x14ac:dyDescent="0.2">
      <c r="A67" s="59" t="s">
        <v>135</v>
      </c>
      <c r="B67" s="70">
        <f>8.53</f>
        <v>8.5299999999999994</v>
      </c>
      <c r="C67" s="57" t="s">
        <v>147</v>
      </c>
      <c r="D67" s="57" t="s">
        <v>24</v>
      </c>
      <c r="E67" s="57" t="s">
        <v>25</v>
      </c>
    </row>
    <row r="68" spans="1:5" s="57" customFormat="1" x14ac:dyDescent="0.2">
      <c r="A68" s="59"/>
      <c r="B68" s="70"/>
    </row>
    <row r="69" spans="1:5" s="57" customFormat="1" x14ac:dyDescent="0.2">
      <c r="A69" s="59" t="s">
        <v>45</v>
      </c>
      <c r="B69" s="70">
        <f>52.7</f>
        <v>52.7</v>
      </c>
      <c r="C69" s="57" t="s">
        <v>142</v>
      </c>
      <c r="D69" s="57" t="s">
        <v>24</v>
      </c>
      <c r="E69" s="57" t="s">
        <v>25</v>
      </c>
    </row>
    <row r="70" spans="1:5" s="57" customFormat="1" x14ac:dyDescent="0.2">
      <c r="A70" s="59" t="s">
        <v>45</v>
      </c>
      <c r="B70" s="70">
        <f>205+48</f>
        <v>253</v>
      </c>
      <c r="C70" s="57" t="s">
        <v>142</v>
      </c>
      <c r="D70" s="57" t="s">
        <v>30</v>
      </c>
      <c r="E70" s="57" t="s">
        <v>46</v>
      </c>
    </row>
    <row r="71" spans="1:5" s="57" customFormat="1" x14ac:dyDescent="0.2">
      <c r="A71" s="59"/>
      <c r="B71" s="70"/>
    </row>
    <row r="72" spans="1:5" s="57" customFormat="1" x14ac:dyDescent="0.2">
      <c r="A72" s="59" t="s">
        <v>41</v>
      </c>
      <c r="B72" s="70">
        <f>30.46</f>
        <v>30.46</v>
      </c>
      <c r="C72" s="55" t="s">
        <v>169</v>
      </c>
      <c r="D72" s="57" t="s">
        <v>24</v>
      </c>
      <c r="E72" s="57" t="s">
        <v>25</v>
      </c>
    </row>
    <row r="73" spans="1:5" s="57" customFormat="1" x14ac:dyDescent="0.2">
      <c r="A73" s="59" t="s">
        <v>41</v>
      </c>
      <c r="B73" s="70">
        <f>250+58.2+206</f>
        <v>514.20000000000005</v>
      </c>
      <c r="C73" s="55" t="s">
        <v>169</v>
      </c>
      <c r="D73" s="57" t="s">
        <v>30</v>
      </c>
      <c r="E73" s="57" t="s">
        <v>34</v>
      </c>
    </row>
    <row r="74" spans="1:5" s="57" customFormat="1" x14ac:dyDescent="0.2">
      <c r="A74" s="59" t="s">
        <v>41</v>
      </c>
      <c r="B74" s="70">
        <f>67.17</f>
        <v>67.17</v>
      </c>
      <c r="C74" s="55" t="s">
        <v>169</v>
      </c>
      <c r="D74" s="57" t="s">
        <v>24</v>
      </c>
      <c r="E74" s="57" t="s">
        <v>23</v>
      </c>
    </row>
    <row r="75" spans="1:5" s="57" customFormat="1" x14ac:dyDescent="0.2">
      <c r="A75" s="59" t="s">
        <v>41</v>
      </c>
      <c r="B75" s="70">
        <f>38.56</f>
        <v>38.56</v>
      </c>
      <c r="C75" s="55" t="s">
        <v>169</v>
      </c>
      <c r="D75" s="57" t="s">
        <v>24</v>
      </c>
      <c r="E75" s="57" t="s">
        <v>25</v>
      </c>
    </row>
    <row r="76" spans="1:5" s="57" customFormat="1" x14ac:dyDescent="0.2">
      <c r="A76" s="59"/>
      <c r="B76" s="70"/>
    </row>
    <row r="77" spans="1:5" s="57" customFormat="1" x14ac:dyDescent="0.2">
      <c r="A77" s="59" t="s">
        <v>94</v>
      </c>
      <c r="B77" s="70">
        <f>10.37</f>
        <v>10.37</v>
      </c>
      <c r="C77" s="57" t="s">
        <v>143</v>
      </c>
      <c r="D77" s="57" t="s">
        <v>24</v>
      </c>
      <c r="E77" s="57" t="s">
        <v>25</v>
      </c>
    </row>
    <row r="78" spans="1:5" s="57" customFormat="1" x14ac:dyDescent="0.2">
      <c r="A78" s="59"/>
      <c r="B78" s="70"/>
    </row>
    <row r="79" spans="1:5" s="57" customFormat="1" x14ac:dyDescent="0.2">
      <c r="A79" s="59" t="s">
        <v>92</v>
      </c>
      <c r="B79" s="70">
        <f>9.83</f>
        <v>9.83</v>
      </c>
      <c r="C79" s="57" t="s">
        <v>144</v>
      </c>
      <c r="D79" s="57" t="s">
        <v>24</v>
      </c>
      <c r="E79" s="57" t="s">
        <v>25</v>
      </c>
    </row>
    <row r="80" spans="1:5" s="57" customFormat="1" x14ac:dyDescent="0.2">
      <c r="A80" s="59"/>
      <c r="B80" s="70"/>
    </row>
    <row r="81" spans="1:5" s="57" customFormat="1" x14ac:dyDescent="0.2">
      <c r="A81" s="59" t="s">
        <v>50</v>
      </c>
      <c r="B81" s="70">
        <f>10.69</f>
        <v>10.69</v>
      </c>
      <c r="C81" s="79" t="s">
        <v>175</v>
      </c>
      <c r="D81" s="57" t="s">
        <v>24</v>
      </c>
      <c r="E81" s="57" t="s">
        <v>25</v>
      </c>
    </row>
    <row r="82" spans="1:5" s="57" customFormat="1" x14ac:dyDescent="0.2">
      <c r="A82" s="59"/>
      <c r="B82" s="70"/>
    </row>
    <row r="83" spans="1:5" s="57" customFormat="1" x14ac:dyDescent="0.2">
      <c r="A83" s="59" t="s">
        <v>50</v>
      </c>
      <c r="B83" s="70">
        <f>45.47</f>
        <v>45.47</v>
      </c>
      <c r="C83" s="57" t="s">
        <v>176</v>
      </c>
      <c r="D83" s="57" t="s">
        <v>24</v>
      </c>
      <c r="E83" s="57" t="s">
        <v>25</v>
      </c>
    </row>
    <row r="84" spans="1:5" s="57" customFormat="1" x14ac:dyDescent="0.2">
      <c r="A84" s="59" t="s">
        <v>50</v>
      </c>
      <c r="B84" s="70">
        <f>423+95</f>
        <v>518</v>
      </c>
      <c r="C84" s="57" t="s">
        <v>176</v>
      </c>
      <c r="D84" s="57" t="s">
        <v>30</v>
      </c>
      <c r="E84" s="57" t="s">
        <v>37</v>
      </c>
    </row>
    <row r="85" spans="1:5" s="57" customFormat="1" x14ac:dyDescent="0.2">
      <c r="A85" s="59" t="s">
        <v>50</v>
      </c>
      <c r="B85" s="70">
        <f>45</f>
        <v>45</v>
      </c>
      <c r="C85" s="57" t="s">
        <v>176</v>
      </c>
      <c r="D85" s="57" t="s">
        <v>153</v>
      </c>
      <c r="E85" s="57" t="s">
        <v>23</v>
      </c>
    </row>
    <row r="86" spans="1:5" s="57" customFormat="1" x14ac:dyDescent="0.2">
      <c r="A86" s="59" t="s">
        <v>50</v>
      </c>
      <c r="B86" s="70">
        <f>20.6</f>
        <v>20.6</v>
      </c>
      <c r="C86" s="57" t="s">
        <v>176</v>
      </c>
      <c r="D86" s="57" t="s">
        <v>152</v>
      </c>
      <c r="E86" s="57" t="s">
        <v>23</v>
      </c>
    </row>
    <row r="87" spans="1:5" s="57" customFormat="1" x14ac:dyDescent="0.2">
      <c r="A87" s="59" t="s">
        <v>50</v>
      </c>
      <c r="B87" s="70">
        <f>40.28</f>
        <v>40.28</v>
      </c>
      <c r="C87" s="57" t="s">
        <v>176</v>
      </c>
      <c r="D87" s="57" t="s">
        <v>24</v>
      </c>
      <c r="E87" s="57" t="s">
        <v>25</v>
      </c>
    </row>
    <row r="88" spans="1:5" s="57" customFormat="1" x14ac:dyDescent="0.2">
      <c r="A88" s="59"/>
      <c r="B88" s="70"/>
    </row>
    <row r="89" spans="1:5" s="57" customFormat="1" x14ac:dyDescent="0.2">
      <c r="A89" s="59" t="s">
        <v>93</v>
      </c>
      <c r="B89" s="70">
        <f>23.54</f>
        <v>23.54</v>
      </c>
      <c r="C89" s="57" t="s">
        <v>145</v>
      </c>
      <c r="D89" s="57" t="s">
        <v>24</v>
      </c>
      <c r="E89" s="57" t="s">
        <v>23</v>
      </c>
    </row>
    <row r="90" spans="1:5" s="57" customFormat="1" x14ac:dyDescent="0.2">
      <c r="A90" s="59" t="s">
        <v>93</v>
      </c>
      <c r="B90" s="70">
        <f>28.94</f>
        <v>28.94</v>
      </c>
      <c r="C90" s="57" t="s">
        <v>145</v>
      </c>
      <c r="D90" s="57" t="s">
        <v>24</v>
      </c>
      <c r="E90" s="57" t="s">
        <v>23</v>
      </c>
    </row>
    <row r="91" spans="1:5" s="57" customFormat="1" x14ac:dyDescent="0.2">
      <c r="A91" s="59" t="s">
        <v>47</v>
      </c>
      <c r="B91" s="70">
        <f>19.66</f>
        <v>19.66</v>
      </c>
      <c r="C91" s="57" t="s">
        <v>145</v>
      </c>
      <c r="D91" s="57" t="s">
        <v>24</v>
      </c>
      <c r="E91" s="57" t="s">
        <v>23</v>
      </c>
    </row>
    <row r="92" spans="1:5" s="57" customFormat="1" x14ac:dyDescent="0.2">
      <c r="A92" s="59" t="s">
        <v>47</v>
      </c>
      <c r="B92" s="70">
        <f>16.63</f>
        <v>16.63</v>
      </c>
      <c r="C92" s="57" t="s">
        <v>145</v>
      </c>
      <c r="D92" s="57" t="s">
        <v>24</v>
      </c>
      <c r="E92" s="57" t="s">
        <v>23</v>
      </c>
    </row>
    <row r="93" spans="1:5" s="57" customFormat="1" x14ac:dyDescent="0.2">
      <c r="A93" s="59" t="s">
        <v>47</v>
      </c>
      <c r="B93" s="70">
        <f>0.5</f>
        <v>0.5</v>
      </c>
      <c r="C93" s="57" t="s">
        <v>145</v>
      </c>
      <c r="D93" s="57" t="s">
        <v>71</v>
      </c>
      <c r="E93" s="57" t="s">
        <v>23</v>
      </c>
    </row>
    <row r="94" spans="1:5" s="57" customFormat="1" x14ac:dyDescent="0.2">
      <c r="A94" s="59" t="s">
        <v>47</v>
      </c>
      <c r="B94" s="70">
        <f>-18.6+557+18.6-557+489+95</f>
        <v>584</v>
      </c>
      <c r="C94" s="57" t="s">
        <v>145</v>
      </c>
      <c r="D94" s="57" t="s">
        <v>30</v>
      </c>
      <c r="E94" s="57" t="s">
        <v>37</v>
      </c>
    </row>
    <row r="95" spans="1:5" s="57" customFormat="1" x14ac:dyDescent="0.2">
      <c r="A95" s="59" t="s">
        <v>47</v>
      </c>
      <c r="B95" s="70">
        <f>46.55</f>
        <v>46.55</v>
      </c>
      <c r="C95" s="57" t="s">
        <v>145</v>
      </c>
      <c r="D95" s="57" t="s">
        <v>24</v>
      </c>
      <c r="E95" s="57" t="s">
        <v>25</v>
      </c>
    </row>
    <row r="96" spans="1:5" s="57" customFormat="1" x14ac:dyDescent="0.2">
      <c r="A96" s="59" t="s">
        <v>47</v>
      </c>
      <c r="B96" s="70">
        <f>34.24</f>
        <v>34.24</v>
      </c>
      <c r="C96" s="57" t="s">
        <v>145</v>
      </c>
      <c r="D96" s="57" t="s">
        <v>24</v>
      </c>
      <c r="E96" s="57" t="s">
        <v>25</v>
      </c>
    </row>
    <row r="97" spans="1:5" s="57" customFormat="1" x14ac:dyDescent="0.2">
      <c r="A97" s="59"/>
      <c r="B97" s="70"/>
    </row>
    <row r="98" spans="1:5" s="57" customFormat="1" x14ac:dyDescent="0.2">
      <c r="A98" s="59"/>
      <c r="B98" s="70"/>
    </row>
    <row r="99" spans="1:5" s="57" customFormat="1" x14ac:dyDescent="0.2">
      <c r="A99" s="59" t="s">
        <v>127</v>
      </c>
      <c r="B99" s="70">
        <f>25.27</f>
        <v>25.27</v>
      </c>
      <c r="C99" s="55" t="s">
        <v>169</v>
      </c>
      <c r="D99" s="57" t="s">
        <v>24</v>
      </c>
      <c r="E99" s="57" t="s">
        <v>23</v>
      </c>
    </row>
    <row r="100" spans="1:5" s="57" customFormat="1" x14ac:dyDescent="0.2">
      <c r="A100" s="59" t="s">
        <v>127</v>
      </c>
      <c r="B100" s="70">
        <f>30.46</f>
        <v>30.46</v>
      </c>
      <c r="C100" s="55" t="s">
        <v>169</v>
      </c>
      <c r="D100" s="57" t="s">
        <v>24</v>
      </c>
      <c r="E100" s="57" t="s">
        <v>23</v>
      </c>
    </row>
    <row r="101" spans="1:5" s="57" customFormat="1" x14ac:dyDescent="0.2">
      <c r="A101" s="59" t="s">
        <v>51</v>
      </c>
      <c r="B101" s="70">
        <f>125+48.5+79+125+48.5</f>
        <v>426</v>
      </c>
      <c r="C101" s="55" t="s">
        <v>169</v>
      </c>
      <c r="D101" s="57" t="s">
        <v>30</v>
      </c>
      <c r="E101" s="57" t="s">
        <v>37</v>
      </c>
    </row>
    <row r="102" spans="1:5" s="57" customFormat="1" x14ac:dyDescent="0.2">
      <c r="A102" s="59" t="s">
        <v>128</v>
      </c>
      <c r="B102" s="70">
        <f>30.56</f>
        <v>30.56</v>
      </c>
      <c r="C102" s="55" t="s">
        <v>169</v>
      </c>
      <c r="D102" s="57" t="s">
        <v>24</v>
      </c>
      <c r="E102" s="57" t="s">
        <v>25</v>
      </c>
    </row>
    <row r="103" spans="1:5" s="57" customFormat="1" x14ac:dyDescent="0.2">
      <c r="A103" s="59" t="s">
        <v>128</v>
      </c>
      <c r="B103" s="70">
        <f>98.5</f>
        <v>98.5</v>
      </c>
      <c r="C103" s="55" t="s">
        <v>169</v>
      </c>
      <c r="D103" s="57" t="s">
        <v>24</v>
      </c>
      <c r="E103" s="57" t="s">
        <v>23</v>
      </c>
    </row>
    <row r="104" spans="1:5" s="57" customFormat="1" x14ac:dyDescent="0.2">
      <c r="A104" s="59" t="s">
        <v>128</v>
      </c>
      <c r="B104" s="70">
        <f>24.19</f>
        <v>24.19</v>
      </c>
      <c r="C104" s="55" t="s">
        <v>169</v>
      </c>
      <c r="D104" s="57" t="s">
        <v>24</v>
      </c>
      <c r="E104" s="57" t="s">
        <v>23</v>
      </c>
    </row>
    <row r="105" spans="1:5" s="57" customFormat="1" x14ac:dyDescent="0.2">
      <c r="A105" s="59"/>
      <c r="B105" s="70"/>
    </row>
    <row r="106" spans="1:5" s="57" customFormat="1" x14ac:dyDescent="0.2">
      <c r="A106" s="59" t="s">
        <v>49</v>
      </c>
      <c r="B106" s="70">
        <f>86+48.5+78</f>
        <v>212.5</v>
      </c>
      <c r="C106" s="55" t="s">
        <v>169</v>
      </c>
      <c r="D106" s="57" t="s">
        <v>30</v>
      </c>
      <c r="E106" s="57" t="s">
        <v>48</v>
      </c>
    </row>
    <row r="107" spans="1:5" s="57" customFormat="1" x14ac:dyDescent="0.2">
      <c r="A107" s="59" t="s">
        <v>49</v>
      </c>
      <c r="B107" s="70">
        <f>48.92</f>
        <v>48.92</v>
      </c>
      <c r="C107" s="55" t="s">
        <v>169</v>
      </c>
      <c r="D107" s="57" t="s">
        <v>24</v>
      </c>
      <c r="E107" s="57" t="s">
        <v>25</v>
      </c>
    </row>
    <row r="108" spans="1:5" s="57" customFormat="1" x14ac:dyDescent="0.2">
      <c r="A108" s="59"/>
      <c r="B108" s="70"/>
    </row>
    <row r="109" spans="1:5" s="57" customFormat="1" x14ac:dyDescent="0.2">
      <c r="A109" s="59" t="s">
        <v>99</v>
      </c>
      <c r="B109" s="70">
        <f>28.84</f>
        <v>28.84</v>
      </c>
      <c r="C109" s="57" t="s">
        <v>177</v>
      </c>
      <c r="D109" s="57" t="s">
        <v>24</v>
      </c>
      <c r="E109" s="57" t="s">
        <v>25</v>
      </c>
    </row>
    <row r="110" spans="1:5" s="57" customFormat="1" x14ac:dyDescent="0.2">
      <c r="A110" s="59"/>
      <c r="B110" s="70"/>
    </row>
    <row r="111" spans="1:5" s="57" customFormat="1" x14ac:dyDescent="0.2">
      <c r="A111" s="59" t="s">
        <v>97</v>
      </c>
      <c r="B111" s="70">
        <f>37.26</f>
        <v>37.26</v>
      </c>
      <c r="C111" s="55" t="s">
        <v>169</v>
      </c>
      <c r="D111" s="57" t="s">
        <v>24</v>
      </c>
      <c r="E111" s="57" t="s">
        <v>25</v>
      </c>
    </row>
    <row r="112" spans="1:5" s="57" customFormat="1" x14ac:dyDescent="0.2">
      <c r="A112" s="59" t="s">
        <v>146</v>
      </c>
      <c r="B112" s="70">
        <f>30+524+93</f>
        <v>647</v>
      </c>
      <c r="C112" s="55" t="s">
        <v>169</v>
      </c>
      <c r="D112" s="57" t="s">
        <v>30</v>
      </c>
      <c r="E112" s="57" t="s">
        <v>34</v>
      </c>
    </row>
    <row r="113" spans="1:5" s="57" customFormat="1" x14ac:dyDescent="0.2">
      <c r="A113" s="59" t="s">
        <v>97</v>
      </c>
      <c r="B113" s="70">
        <f>102.82</f>
        <v>102.82</v>
      </c>
      <c r="C113" s="55" t="s">
        <v>169</v>
      </c>
      <c r="D113" s="57" t="s">
        <v>24</v>
      </c>
      <c r="E113" s="57" t="s">
        <v>23</v>
      </c>
    </row>
    <row r="114" spans="1:5" s="57" customFormat="1" x14ac:dyDescent="0.2">
      <c r="A114" s="59" t="s">
        <v>96</v>
      </c>
      <c r="B114" s="70">
        <f>26.14</f>
        <v>26.14</v>
      </c>
      <c r="C114" s="55" t="s">
        <v>169</v>
      </c>
      <c r="D114" s="57" t="s">
        <v>24</v>
      </c>
      <c r="E114" s="57" t="s">
        <v>23</v>
      </c>
    </row>
    <row r="115" spans="1:5" s="57" customFormat="1" x14ac:dyDescent="0.2">
      <c r="A115" s="59" t="s">
        <v>96</v>
      </c>
      <c r="B115" s="70">
        <f>12.1</f>
        <v>12.1</v>
      </c>
      <c r="C115" s="55" t="s">
        <v>169</v>
      </c>
      <c r="D115" s="57" t="s">
        <v>24</v>
      </c>
      <c r="E115" s="57" t="s">
        <v>23</v>
      </c>
    </row>
    <row r="116" spans="1:5" s="57" customFormat="1" x14ac:dyDescent="0.2">
      <c r="A116" s="59" t="s">
        <v>96</v>
      </c>
      <c r="B116" s="70">
        <f>24.41</f>
        <v>24.41</v>
      </c>
      <c r="C116" s="55" t="s">
        <v>169</v>
      </c>
      <c r="D116" s="57" t="s">
        <v>24</v>
      </c>
      <c r="E116" s="57" t="s">
        <v>23</v>
      </c>
    </row>
    <row r="117" spans="1:5" s="57" customFormat="1" x14ac:dyDescent="0.2">
      <c r="A117" s="59" t="s">
        <v>98</v>
      </c>
      <c r="B117" s="70">
        <f>81.65</f>
        <v>81.650000000000006</v>
      </c>
      <c r="C117" s="55" t="s">
        <v>169</v>
      </c>
      <c r="D117" s="57" t="s">
        <v>24</v>
      </c>
      <c r="E117" s="57" t="s">
        <v>23</v>
      </c>
    </row>
    <row r="118" spans="1:5" s="57" customFormat="1" x14ac:dyDescent="0.2">
      <c r="A118" s="59" t="s">
        <v>98</v>
      </c>
      <c r="B118" s="70">
        <f>50</f>
        <v>50</v>
      </c>
      <c r="C118" s="55" t="s">
        <v>169</v>
      </c>
      <c r="D118" s="57" t="s">
        <v>24</v>
      </c>
      <c r="E118" s="57" t="s">
        <v>25</v>
      </c>
    </row>
    <row r="119" spans="1:5" s="57" customFormat="1" x14ac:dyDescent="0.2">
      <c r="A119" s="59"/>
      <c r="B119" s="70"/>
    </row>
    <row r="120" spans="1:5" s="57" customFormat="1" x14ac:dyDescent="0.2">
      <c r="A120" s="59" t="s">
        <v>100</v>
      </c>
      <c r="B120" s="70">
        <f>8.64</f>
        <v>8.64</v>
      </c>
      <c r="C120" s="57" t="s">
        <v>147</v>
      </c>
      <c r="D120" s="57" t="s">
        <v>24</v>
      </c>
      <c r="E120" s="57" t="s">
        <v>25</v>
      </c>
    </row>
    <row r="121" spans="1:5" s="57" customFormat="1" x14ac:dyDescent="0.2">
      <c r="A121" s="59"/>
      <c r="B121" s="70"/>
    </row>
    <row r="122" spans="1:5" s="57" customFormat="1" x14ac:dyDescent="0.2">
      <c r="A122" s="59" t="s">
        <v>100</v>
      </c>
      <c r="B122" s="70">
        <f>8.75</f>
        <v>8.75</v>
      </c>
      <c r="C122" s="57" t="s">
        <v>148</v>
      </c>
      <c r="D122" s="57" t="s">
        <v>24</v>
      </c>
      <c r="E122" s="57" t="s">
        <v>25</v>
      </c>
    </row>
    <row r="123" spans="1:5" s="57" customFormat="1" x14ac:dyDescent="0.2">
      <c r="A123" s="59"/>
      <c r="B123" s="70"/>
    </row>
    <row r="124" spans="1:5" s="57" customFormat="1" x14ac:dyDescent="0.2">
      <c r="A124" s="59" t="s">
        <v>52</v>
      </c>
      <c r="B124" s="70">
        <f>32.08</f>
        <v>32.08</v>
      </c>
      <c r="C124" s="57" t="s">
        <v>171</v>
      </c>
      <c r="D124" s="57" t="s">
        <v>24</v>
      </c>
      <c r="E124" s="57" t="s">
        <v>25</v>
      </c>
    </row>
    <row r="125" spans="1:5" s="57" customFormat="1" x14ac:dyDescent="0.2">
      <c r="A125" s="59" t="s">
        <v>52</v>
      </c>
      <c r="B125" s="70">
        <f>454+93</f>
        <v>547</v>
      </c>
      <c r="C125" s="57" t="s">
        <v>171</v>
      </c>
      <c r="D125" s="57" t="s">
        <v>30</v>
      </c>
      <c r="E125" s="57" t="s">
        <v>44</v>
      </c>
    </row>
    <row r="126" spans="1:5" s="57" customFormat="1" x14ac:dyDescent="0.2">
      <c r="A126" s="59" t="s">
        <v>52</v>
      </c>
      <c r="B126" s="70">
        <f>63.5</f>
        <v>63.5</v>
      </c>
      <c r="C126" s="57" t="s">
        <v>171</v>
      </c>
      <c r="D126" s="57" t="s">
        <v>24</v>
      </c>
      <c r="E126" s="57" t="s">
        <v>25</v>
      </c>
    </row>
    <row r="127" spans="1:5" s="57" customFormat="1" x14ac:dyDescent="0.2">
      <c r="A127" s="59"/>
      <c r="B127" s="70"/>
    </row>
    <row r="128" spans="1:5" s="57" customFormat="1" x14ac:dyDescent="0.2">
      <c r="A128" s="59" t="s">
        <v>53</v>
      </c>
      <c r="B128" s="70">
        <f>36.3</f>
        <v>36.299999999999997</v>
      </c>
      <c r="C128" s="55" t="s">
        <v>169</v>
      </c>
      <c r="D128" s="57" t="s">
        <v>24</v>
      </c>
      <c r="E128" s="57" t="s">
        <v>25</v>
      </c>
    </row>
    <row r="129" spans="1:5" s="57" customFormat="1" x14ac:dyDescent="0.2">
      <c r="A129" s="59" t="s">
        <v>149</v>
      </c>
      <c r="B129" s="70">
        <f>325+46.5+5</f>
        <v>376.5</v>
      </c>
      <c r="C129" s="55" t="s">
        <v>169</v>
      </c>
      <c r="D129" s="57" t="s">
        <v>30</v>
      </c>
      <c r="E129" s="57" t="s">
        <v>31</v>
      </c>
    </row>
    <row r="130" spans="1:5" s="57" customFormat="1" x14ac:dyDescent="0.2">
      <c r="A130" s="59" t="s">
        <v>53</v>
      </c>
      <c r="B130" s="70">
        <f>101.95</f>
        <v>101.95</v>
      </c>
      <c r="C130" s="55" t="s">
        <v>169</v>
      </c>
      <c r="D130" s="57" t="s">
        <v>24</v>
      </c>
      <c r="E130" s="57" t="s">
        <v>23</v>
      </c>
    </row>
    <row r="131" spans="1:5" s="57" customFormat="1" x14ac:dyDescent="0.2">
      <c r="A131" s="59" t="s">
        <v>101</v>
      </c>
      <c r="B131" s="70">
        <f>72.58</f>
        <v>72.58</v>
      </c>
      <c r="C131" s="55" t="s">
        <v>169</v>
      </c>
      <c r="D131" s="57" t="s">
        <v>24</v>
      </c>
      <c r="E131" s="57" t="s">
        <v>23</v>
      </c>
    </row>
    <row r="132" spans="1:5" s="57" customFormat="1" x14ac:dyDescent="0.2">
      <c r="A132" s="59" t="s">
        <v>101</v>
      </c>
      <c r="B132" s="70">
        <f>50.44</f>
        <v>50.44</v>
      </c>
      <c r="C132" s="55" t="s">
        <v>169</v>
      </c>
      <c r="D132" s="57" t="s">
        <v>24</v>
      </c>
      <c r="E132" s="57" t="s">
        <v>25</v>
      </c>
    </row>
    <row r="133" spans="1:5" s="57" customFormat="1" x14ac:dyDescent="0.2">
      <c r="A133" s="59"/>
      <c r="B133" s="70"/>
    </row>
    <row r="134" spans="1:5" s="57" customFormat="1" x14ac:dyDescent="0.2">
      <c r="A134" s="59" t="s">
        <v>54</v>
      </c>
      <c r="B134" s="70">
        <f>32.08</f>
        <v>32.08</v>
      </c>
      <c r="C134" s="55" t="s">
        <v>169</v>
      </c>
      <c r="D134" s="57" t="s">
        <v>24</v>
      </c>
      <c r="E134" s="57" t="s">
        <v>25</v>
      </c>
    </row>
    <row r="135" spans="1:5" s="57" customFormat="1" x14ac:dyDescent="0.2">
      <c r="A135" s="59" t="s">
        <v>54</v>
      </c>
      <c r="B135" s="70">
        <f>164+48.5</f>
        <v>212.5</v>
      </c>
      <c r="C135" s="55" t="s">
        <v>169</v>
      </c>
      <c r="D135" s="57" t="s">
        <v>30</v>
      </c>
      <c r="E135" s="57" t="s">
        <v>31</v>
      </c>
    </row>
    <row r="136" spans="1:5" s="57" customFormat="1" x14ac:dyDescent="0.2">
      <c r="A136" s="59" t="s">
        <v>105</v>
      </c>
      <c r="B136" s="70">
        <f>98.93</f>
        <v>98.93</v>
      </c>
      <c r="C136" s="55" t="s">
        <v>169</v>
      </c>
      <c r="D136" s="57" t="s">
        <v>24</v>
      </c>
      <c r="E136" s="57" t="s">
        <v>23</v>
      </c>
    </row>
    <row r="137" spans="1:5" s="57" customFormat="1" x14ac:dyDescent="0.2">
      <c r="A137" s="59" t="s">
        <v>54</v>
      </c>
      <c r="B137" s="70">
        <f>19.66</f>
        <v>19.66</v>
      </c>
      <c r="C137" s="55" t="s">
        <v>169</v>
      </c>
      <c r="D137" s="57" t="s">
        <v>24</v>
      </c>
      <c r="E137" s="57" t="s">
        <v>23</v>
      </c>
    </row>
    <row r="138" spans="1:5" s="57" customFormat="1" x14ac:dyDescent="0.2">
      <c r="A138" s="59" t="s">
        <v>104</v>
      </c>
      <c r="B138" s="70">
        <f>28.94</f>
        <v>28.94</v>
      </c>
      <c r="C138" s="55" t="s">
        <v>169</v>
      </c>
      <c r="D138" s="57" t="s">
        <v>24</v>
      </c>
      <c r="E138" s="57" t="s">
        <v>23</v>
      </c>
    </row>
    <row r="139" spans="1:5" s="57" customFormat="1" x14ac:dyDescent="0.2">
      <c r="A139" s="59" t="s">
        <v>79</v>
      </c>
      <c r="B139" s="70">
        <f>30</f>
        <v>30</v>
      </c>
      <c r="C139" s="55" t="s">
        <v>169</v>
      </c>
      <c r="D139" s="57" t="s">
        <v>24</v>
      </c>
      <c r="E139" s="57" t="s">
        <v>23</v>
      </c>
    </row>
    <row r="140" spans="1:5" s="57" customFormat="1" x14ac:dyDescent="0.2">
      <c r="A140" s="59"/>
      <c r="B140" s="70"/>
    </row>
    <row r="141" spans="1:5" s="57" customFormat="1" x14ac:dyDescent="0.2">
      <c r="A141" s="59" t="s">
        <v>56</v>
      </c>
      <c r="B141" s="70">
        <f>557+93</f>
        <v>650</v>
      </c>
      <c r="C141" s="55" t="s">
        <v>169</v>
      </c>
      <c r="D141" s="57" t="s">
        <v>30</v>
      </c>
      <c r="E141" s="57" t="s">
        <v>37</v>
      </c>
    </row>
    <row r="142" spans="1:5" s="57" customFormat="1" x14ac:dyDescent="0.2">
      <c r="A142" s="59" t="s">
        <v>56</v>
      </c>
      <c r="B142" s="70">
        <f>44.6</f>
        <v>44.6</v>
      </c>
      <c r="C142" s="55" t="s">
        <v>169</v>
      </c>
      <c r="D142" s="57" t="s">
        <v>24</v>
      </c>
      <c r="E142" s="57" t="s">
        <v>25</v>
      </c>
    </row>
    <row r="143" spans="1:5" s="57" customFormat="1" x14ac:dyDescent="0.2">
      <c r="A143" s="59"/>
      <c r="B143" s="70"/>
    </row>
    <row r="144" spans="1:5" s="57" customFormat="1" x14ac:dyDescent="0.2">
      <c r="A144" s="59" t="s">
        <v>55</v>
      </c>
      <c r="B144" s="70">
        <f>30.46</f>
        <v>30.46</v>
      </c>
      <c r="C144" s="55" t="s">
        <v>169</v>
      </c>
      <c r="D144" s="57" t="s">
        <v>24</v>
      </c>
      <c r="E144" s="57" t="s">
        <v>25</v>
      </c>
    </row>
    <row r="145" spans="1:5" s="57" customFormat="1" x14ac:dyDescent="0.2">
      <c r="A145" s="59" t="s">
        <v>55</v>
      </c>
      <c r="B145" s="70">
        <f>173+97</f>
        <v>270</v>
      </c>
      <c r="C145" s="55" t="s">
        <v>169</v>
      </c>
      <c r="D145" s="57" t="s">
        <v>30</v>
      </c>
      <c r="E145" s="57" t="s">
        <v>37</v>
      </c>
    </row>
    <row r="146" spans="1:5" s="57" customFormat="1" x14ac:dyDescent="0.2">
      <c r="A146" s="59" t="s">
        <v>55</v>
      </c>
      <c r="B146" s="70">
        <f>99.59</f>
        <v>99.59</v>
      </c>
      <c r="C146" s="55" t="s">
        <v>169</v>
      </c>
      <c r="D146" s="57" t="s">
        <v>27</v>
      </c>
      <c r="E146" s="57" t="s">
        <v>23</v>
      </c>
    </row>
    <row r="147" spans="1:5" s="57" customFormat="1" x14ac:dyDescent="0.2">
      <c r="A147" s="59" t="s">
        <v>55</v>
      </c>
      <c r="B147" s="70">
        <f>44.6</f>
        <v>44.6</v>
      </c>
      <c r="C147" s="55" t="s">
        <v>169</v>
      </c>
      <c r="D147" s="57" t="s">
        <v>24</v>
      </c>
      <c r="E147" s="57" t="s">
        <v>25</v>
      </c>
    </row>
    <row r="148" spans="1:5" s="57" customFormat="1" x14ac:dyDescent="0.2">
      <c r="A148" s="59"/>
      <c r="B148" s="70"/>
    </row>
    <row r="149" spans="1:5" s="57" customFormat="1" x14ac:dyDescent="0.2">
      <c r="A149" s="59" t="s">
        <v>103</v>
      </c>
      <c r="B149" s="70">
        <f>33.7</f>
        <v>33.700000000000003</v>
      </c>
      <c r="C149" s="55" t="s">
        <v>169</v>
      </c>
      <c r="D149" s="57" t="s">
        <v>24</v>
      </c>
      <c r="E149" s="57" t="s">
        <v>25</v>
      </c>
    </row>
    <row r="150" spans="1:5" s="57" customFormat="1" x14ac:dyDescent="0.2">
      <c r="A150" s="59" t="s">
        <v>58</v>
      </c>
      <c r="B150" s="70">
        <f>270+97</f>
        <v>367</v>
      </c>
      <c r="C150" s="55" t="s">
        <v>169</v>
      </c>
      <c r="D150" s="57" t="s">
        <v>30</v>
      </c>
      <c r="E150" s="57" t="s">
        <v>34</v>
      </c>
    </row>
    <row r="151" spans="1:5" s="57" customFormat="1" x14ac:dyDescent="0.2">
      <c r="A151" s="59" t="s">
        <v>103</v>
      </c>
      <c r="B151" s="70">
        <f>54.65</f>
        <v>54.65</v>
      </c>
      <c r="C151" s="55" t="s">
        <v>169</v>
      </c>
      <c r="D151" s="57" t="s">
        <v>24</v>
      </c>
      <c r="E151" s="57" t="s">
        <v>23</v>
      </c>
    </row>
    <row r="152" spans="1:5" s="57" customFormat="1" x14ac:dyDescent="0.2">
      <c r="A152" s="59" t="s">
        <v>102</v>
      </c>
      <c r="B152" s="70">
        <f>72.36</f>
        <v>72.36</v>
      </c>
      <c r="C152" s="55" t="s">
        <v>169</v>
      </c>
      <c r="D152" s="57" t="s">
        <v>24</v>
      </c>
      <c r="E152" s="57" t="s">
        <v>23</v>
      </c>
    </row>
    <row r="153" spans="1:5" s="57" customFormat="1" x14ac:dyDescent="0.2">
      <c r="A153" s="59" t="s">
        <v>102</v>
      </c>
      <c r="B153" s="70">
        <f>45.79</f>
        <v>45.79</v>
      </c>
      <c r="C153" s="55" t="s">
        <v>169</v>
      </c>
      <c r="D153" s="57" t="s">
        <v>24</v>
      </c>
      <c r="E153" s="57" t="s">
        <v>25</v>
      </c>
    </row>
    <row r="154" spans="1:5" s="57" customFormat="1" x14ac:dyDescent="0.2">
      <c r="A154" s="59"/>
      <c r="B154" s="70"/>
    </row>
    <row r="155" spans="1:5" s="57" customFormat="1" x14ac:dyDescent="0.2">
      <c r="A155" s="59" t="s">
        <v>109</v>
      </c>
      <c r="B155" s="70">
        <f>31.97</f>
        <v>31.97</v>
      </c>
      <c r="C155" s="55" t="s">
        <v>169</v>
      </c>
      <c r="D155" s="57" t="s">
        <v>24</v>
      </c>
      <c r="E155" s="57" t="s">
        <v>25</v>
      </c>
    </row>
    <row r="156" spans="1:5" s="57" customFormat="1" x14ac:dyDescent="0.2">
      <c r="A156" s="59" t="s">
        <v>109</v>
      </c>
      <c r="B156" s="70">
        <f>25.92</f>
        <v>25.92</v>
      </c>
      <c r="C156" s="55" t="s">
        <v>169</v>
      </c>
      <c r="D156" s="57" t="s">
        <v>24</v>
      </c>
      <c r="E156" s="57" t="s">
        <v>25</v>
      </c>
    </row>
    <row r="157" spans="1:5" s="57" customFormat="1" x14ac:dyDescent="0.2">
      <c r="A157" s="59"/>
      <c r="B157" s="70"/>
    </row>
    <row r="158" spans="1:5" s="57" customFormat="1" x14ac:dyDescent="0.2">
      <c r="A158" s="59" t="s">
        <v>106</v>
      </c>
      <c r="B158" s="70">
        <f>48.6</f>
        <v>48.6</v>
      </c>
      <c r="C158" s="57" t="s">
        <v>150</v>
      </c>
      <c r="D158" s="57" t="s">
        <v>24</v>
      </c>
      <c r="E158" s="57" t="s">
        <v>25</v>
      </c>
    </row>
    <row r="159" spans="1:5" s="57" customFormat="1" x14ac:dyDescent="0.2">
      <c r="A159" s="59" t="s">
        <v>106</v>
      </c>
      <c r="B159" s="70">
        <f>25.38</f>
        <v>25.38</v>
      </c>
      <c r="C159" s="57" t="s">
        <v>150</v>
      </c>
      <c r="D159" s="57" t="s">
        <v>24</v>
      </c>
      <c r="E159" s="57" t="s">
        <v>25</v>
      </c>
    </row>
    <row r="160" spans="1:5" s="57" customFormat="1" x14ac:dyDescent="0.2">
      <c r="A160" s="59"/>
      <c r="B160" s="70"/>
    </row>
    <row r="161" spans="1:5" s="57" customFormat="1" x14ac:dyDescent="0.2">
      <c r="A161" s="59" t="s">
        <v>107</v>
      </c>
      <c r="B161" s="70">
        <f>30.02</f>
        <v>30.02</v>
      </c>
      <c r="C161" s="55" t="s">
        <v>169</v>
      </c>
      <c r="D161" s="57" t="s">
        <v>24</v>
      </c>
      <c r="E161" s="57" t="s">
        <v>23</v>
      </c>
    </row>
    <row r="162" spans="1:5" s="57" customFormat="1" x14ac:dyDescent="0.2">
      <c r="A162" s="59" t="s">
        <v>107</v>
      </c>
      <c r="B162" s="70">
        <f>33.48</f>
        <v>33.479999999999997</v>
      </c>
      <c r="C162" s="55" t="s">
        <v>169</v>
      </c>
      <c r="D162" s="57" t="s">
        <v>24</v>
      </c>
      <c r="E162" s="57" t="s">
        <v>23</v>
      </c>
    </row>
    <row r="163" spans="1:5" s="57" customFormat="1" x14ac:dyDescent="0.2">
      <c r="A163" s="59" t="s">
        <v>108</v>
      </c>
      <c r="B163" s="70">
        <f>28.3</f>
        <v>28.3</v>
      </c>
      <c r="C163" s="55" t="s">
        <v>169</v>
      </c>
      <c r="D163" s="57" t="s">
        <v>24</v>
      </c>
      <c r="E163" s="57" t="s">
        <v>23</v>
      </c>
    </row>
    <row r="164" spans="1:5" s="57" customFormat="1" x14ac:dyDescent="0.2">
      <c r="A164" s="59" t="s">
        <v>108</v>
      </c>
      <c r="B164" s="70">
        <f>12.1</f>
        <v>12.1</v>
      </c>
      <c r="C164" s="55" t="s">
        <v>169</v>
      </c>
      <c r="D164" s="57" t="s">
        <v>24</v>
      </c>
      <c r="E164" s="57" t="s">
        <v>23</v>
      </c>
    </row>
    <row r="165" spans="1:5" s="57" customFormat="1" x14ac:dyDescent="0.2">
      <c r="A165" s="59" t="s">
        <v>108</v>
      </c>
      <c r="B165" s="70">
        <f>81.86</f>
        <v>81.86</v>
      </c>
      <c r="C165" s="55" t="s">
        <v>169</v>
      </c>
      <c r="D165" s="57" t="s">
        <v>24</v>
      </c>
      <c r="E165" s="57" t="s">
        <v>23</v>
      </c>
    </row>
    <row r="166" spans="1:5" s="57" customFormat="1" x14ac:dyDescent="0.2">
      <c r="A166" s="59" t="s">
        <v>108</v>
      </c>
      <c r="B166" s="70">
        <f>52.92</f>
        <v>52.92</v>
      </c>
      <c r="C166" s="55" t="s">
        <v>169</v>
      </c>
      <c r="D166" s="57" t="s">
        <v>24</v>
      </c>
      <c r="E166" s="57" t="s">
        <v>25</v>
      </c>
    </row>
    <row r="167" spans="1:5" s="57" customFormat="1" x14ac:dyDescent="0.2">
      <c r="A167" s="59"/>
      <c r="B167" s="70"/>
    </row>
    <row r="168" spans="1:5" s="57" customFormat="1" ht="25.5" x14ac:dyDescent="0.2">
      <c r="A168" s="59" t="s">
        <v>111</v>
      </c>
      <c r="B168" s="70">
        <f>43.74</f>
        <v>43.74</v>
      </c>
      <c r="C168" s="57" t="s">
        <v>211</v>
      </c>
      <c r="D168" s="57" t="s">
        <v>24</v>
      </c>
      <c r="E168" s="57" t="s">
        <v>25</v>
      </c>
    </row>
    <row r="169" spans="1:5" s="57" customFormat="1" ht="25.5" x14ac:dyDescent="0.2">
      <c r="A169" s="59" t="s">
        <v>60</v>
      </c>
      <c r="B169" s="70">
        <f>358+95+177</f>
        <v>630</v>
      </c>
      <c r="C169" s="57" t="s">
        <v>211</v>
      </c>
      <c r="D169" s="57" t="s">
        <v>30</v>
      </c>
      <c r="E169" s="57" t="s">
        <v>61</v>
      </c>
    </row>
    <row r="170" spans="1:5" s="57" customFormat="1" ht="25.5" x14ac:dyDescent="0.2">
      <c r="A170" s="59" t="s">
        <v>111</v>
      </c>
      <c r="B170" s="70">
        <f>53.24</f>
        <v>53.24</v>
      </c>
      <c r="C170" s="57" t="s">
        <v>211</v>
      </c>
      <c r="D170" s="57" t="s">
        <v>24</v>
      </c>
      <c r="E170" s="57" t="s">
        <v>77</v>
      </c>
    </row>
    <row r="171" spans="1:5" s="57" customFormat="1" ht="25.5" x14ac:dyDescent="0.2">
      <c r="A171" s="59" t="s">
        <v>111</v>
      </c>
      <c r="B171" s="70">
        <f>15.12</f>
        <v>15.12</v>
      </c>
      <c r="C171" s="57" t="s">
        <v>211</v>
      </c>
      <c r="D171" s="57" t="s">
        <v>24</v>
      </c>
      <c r="E171" s="57" t="s">
        <v>77</v>
      </c>
    </row>
    <row r="172" spans="1:5" s="57" customFormat="1" ht="25.5" x14ac:dyDescent="0.2">
      <c r="A172" s="59" t="s">
        <v>111</v>
      </c>
      <c r="B172" s="70">
        <f>264</f>
        <v>264</v>
      </c>
      <c r="C172" s="57" t="s">
        <v>211</v>
      </c>
      <c r="D172" s="57" t="s">
        <v>130</v>
      </c>
      <c r="E172" s="57" t="s">
        <v>77</v>
      </c>
    </row>
    <row r="173" spans="1:5" s="57" customFormat="1" ht="25.5" x14ac:dyDescent="0.2">
      <c r="A173" s="59" t="s">
        <v>60</v>
      </c>
      <c r="B173" s="70">
        <f>38+27</f>
        <v>65</v>
      </c>
      <c r="C173" s="57" t="s">
        <v>211</v>
      </c>
      <c r="D173" s="57" t="s">
        <v>76</v>
      </c>
      <c r="E173" s="57" t="s">
        <v>77</v>
      </c>
    </row>
    <row r="174" spans="1:5" s="57" customFormat="1" ht="25.5" x14ac:dyDescent="0.2">
      <c r="A174" s="59" t="s">
        <v>113</v>
      </c>
      <c r="B174" s="70">
        <f>18.58</f>
        <v>18.579999999999998</v>
      </c>
      <c r="C174" s="57" t="s">
        <v>211</v>
      </c>
      <c r="D174" s="57" t="s">
        <v>24</v>
      </c>
      <c r="E174" s="57" t="s">
        <v>77</v>
      </c>
    </row>
    <row r="175" spans="1:5" s="57" customFormat="1" ht="25.5" x14ac:dyDescent="0.2">
      <c r="A175" s="59" t="s">
        <v>113</v>
      </c>
      <c r="B175" s="70">
        <f>65.45</f>
        <v>65.45</v>
      </c>
      <c r="C175" s="57" t="s">
        <v>211</v>
      </c>
      <c r="D175" s="57" t="s">
        <v>24</v>
      </c>
      <c r="E175" s="57" t="s">
        <v>23</v>
      </c>
    </row>
    <row r="176" spans="1:5" s="57" customFormat="1" x14ac:dyDescent="0.2">
      <c r="A176" s="59"/>
      <c r="B176" s="70"/>
    </row>
    <row r="177" spans="1:5" s="57" customFormat="1" x14ac:dyDescent="0.2">
      <c r="A177" s="59" t="s">
        <v>110</v>
      </c>
      <c r="B177" s="70">
        <f>11.12</f>
        <v>11.12</v>
      </c>
      <c r="C177" s="57" t="s">
        <v>178</v>
      </c>
      <c r="D177" s="57" t="s">
        <v>24</v>
      </c>
      <c r="E177" s="57" t="s">
        <v>25</v>
      </c>
    </row>
    <row r="178" spans="1:5" s="57" customFormat="1" x14ac:dyDescent="0.2">
      <c r="A178" s="59"/>
      <c r="B178" s="70"/>
    </row>
    <row r="179" spans="1:5" s="57" customFormat="1" ht="25.5" x14ac:dyDescent="0.2">
      <c r="A179" s="59" t="s">
        <v>59</v>
      </c>
      <c r="B179" s="70">
        <f>36.61</f>
        <v>36.61</v>
      </c>
      <c r="C179" s="57" t="s">
        <v>179</v>
      </c>
      <c r="D179" s="57" t="s">
        <v>24</v>
      </c>
      <c r="E179" s="57" t="s">
        <v>25</v>
      </c>
    </row>
    <row r="180" spans="1:5" s="57" customFormat="1" ht="25.5" x14ac:dyDescent="0.2">
      <c r="A180" s="59" t="s">
        <v>59</v>
      </c>
      <c r="B180" s="70">
        <f>232+10+46.5</f>
        <v>288.5</v>
      </c>
      <c r="C180" s="57" t="s">
        <v>179</v>
      </c>
      <c r="D180" s="57" t="s">
        <v>30</v>
      </c>
      <c r="E180" s="57" t="s">
        <v>31</v>
      </c>
    </row>
    <row r="181" spans="1:5" s="57" customFormat="1" ht="25.5" x14ac:dyDescent="0.2">
      <c r="A181" s="59" t="s">
        <v>112</v>
      </c>
      <c r="B181" s="70">
        <f>34.99</f>
        <v>34.99</v>
      </c>
      <c r="C181" s="57" t="s">
        <v>179</v>
      </c>
      <c r="D181" s="57" t="s">
        <v>24</v>
      </c>
      <c r="E181" s="57" t="s">
        <v>23</v>
      </c>
    </row>
    <row r="182" spans="1:5" s="57" customFormat="1" ht="25.5" x14ac:dyDescent="0.2">
      <c r="A182" s="59" t="s">
        <v>112</v>
      </c>
      <c r="B182" s="70">
        <f>12.74</f>
        <v>12.74</v>
      </c>
      <c r="C182" s="57" t="s">
        <v>179</v>
      </c>
      <c r="D182" s="57" t="s">
        <v>24</v>
      </c>
      <c r="E182" s="57" t="s">
        <v>23</v>
      </c>
    </row>
    <row r="183" spans="1:5" s="57" customFormat="1" x14ac:dyDescent="0.2">
      <c r="A183" s="59"/>
      <c r="B183" s="70"/>
    </row>
    <row r="184" spans="1:5" s="57" customFormat="1" x14ac:dyDescent="0.2">
      <c r="A184" s="59" t="s">
        <v>116</v>
      </c>
      <c r="B184" s="70">
        <f>12.53</f>
        <v>12.53</v>
      </c>
      <c r="C184" s="57" t="s">
        <v>180</v>
      </c>
      <c r="D184" s="57" t="s">
        <v>24</v>
      </c>
      <c r="E184" s="57" t="s">
        <v>25</v>
      </c>
    </row>
    <row r="185" spans="1:5" s="57" customFormat="1" x14ac:dyDescent="0.2">
      <c r="A185" s="59"/>
      <c r="B185" s="70"/>
    </row>
    <row r="186" spans="1:5" s="57" customFormat="1" x14ac:dyDescent="0.2">
      <c r="A186" s="59" t="s">
        <v>78</v>
      </c>
      <c r="B186" s="70">
        <f>44</f>
        <v>44</v>
      </c>
      <c r="C186" s="57" t="s">
        <v>154</v>
      </c>
      <c r="D186" s="57" t="s">
        <v>153</v>
      </c>
      <c r="E186" s="57" t="s">
        <v>23</v>
      </c>
    </row>
    <row r="187" spans="1:5" s="57" customFormat="1" x14ac:dyDescent="0.2">
      <c r="A187" s="59"/>
      <c r="B187" s="70"/>
    </row>
    <row r="188" spans="1:5" s="57" customFormat="1" x14ac:dyDescent="0.2">
      <c r="A188" s="59" t="s">
        <v>115</v>
      </c>
      <c r="B188" s="70">
        <f>37.15</f>
        <v>37.15</v>
      </c>
      <c r="C188" s="57" t="s">
        <v>169</v>
      </c>
      <c r="D188" s="57" t="s">
        <v>24</v>
      </c>
      <c r="E188" s="57" t="s">
        <v>25</v>
      </c>
    </row>
    <row r="189" spans="1:5" s="57" customFormat="1" x14ac:dyDescent="0.2">
      <c r="A189" s="59" t="s">
        <v>62</v>
      </c>
      <c r="B189" s="70">
        <f>380+93</f>
        <v>473</v>
      </c>
      <c r="C189" s="57" t="s">
        <v>169</v>
      </c>
      <c r="D189" s="57" t="s">
        <v>30</v>
      </c>
      <c r="E189" s="57" t="s">
        <v>34</v>
      </c>
    </row>
    <row r="190" spans="1:5" s="57" customFormat="1" x14ac:dyDescent="0.2">
      <c r="A190" s="59" t="s">
        <v>114</v>
      </c>
      <c r="B190" s="70">
        <f>24.62</f>
        <v>24.62</v>
      </c>
      <c r="C190" s="57" t="s">
        <v>169</v>
      </c>
      <c r="D190" s="57" t="s">
        <v>24</v>
      </c>
      <c r="E190" s="57" t="s">
        <v>23</v>
      </c>
    </row>
    <row r="191" spans="1:5" s="57" customFormat="1" x14ac:dyDescent="0.2">
      <c r="A191" s="59" t="s">
        <v>114</v>
      </c>
      <c r="B191" s="70">
        <f>12.1</f>
        <v>12.1</v>
      </c>
      <c r="C191" s="57" t="s">
        <v>169</v>
      </c>
      <c r="D191" s="57" t="s">
        <v>24</v>
      </c>
      <c r="E191" s="57" t="s">
        <v>23</v>
      </c>
    </row>
    <row r="192" spans="1:5" s="57" customFormat="1" x14ac:dyDescent="0.2">
      <c r="A192" s="59"/>
      <c r="B192" s="70"/>
    </row>
    <row r="193" spans="1:5" s="57" customFormat="1" x14ac:dyDescent="0.2">
      <c r="A193" s="59" t="s">
        <v>81</v>
      </c>
      <c r="B193" s="70">
        <f>100</f>
        <v>100</v>
      </c>
      <c r="C193" s="57" t="s">
        <v>154</v>
      </c>
      <c r="D193" s="57" t="s">
        <v>153</v>
      </c>
      <c r="E193" s="57" t="s">
        <v>23</v>
      </c>
    </row>
    <row r="194" spans="1:5" s="57" customFormat="1" x14ac:dyDescent="0.2">
      <c r="A194" s="59"/>
      <c r="B194" s="70"/>
    </row>
    <row r="195" spans="1:5" s="57" customFormat="1" x14ac:dyDescent="0.2">
      <c r="A195" s="59" t="s">
        <v>120</v>
      </c>
      <c r="B195" s="70">
        <f>35.75</f>
        <v>35.75</v>
      </c>
      <c r="C195" s="57" t="s">
        <v>169</v>
      </c>
      <c r="D195" s="57" t="s">
        <v>24</v>
      </c>
      <c r="E195" s="57" t="s">
        <v>25</v>
      </c>
    </row>
    <row r="196" spans="1:5" s="57" customFormat="1" x14ac:dyDescent="0.2">
      <c r="A196" s="59" t="s">
        <v>63</v>
      </c>
      <c r="B196" s="70">
        <f>617+74.4</f>
        <v>691.4</v>
      </c>
      <c r="C196" s="57" t="s">
        <v>169</v>
      </c>
      <c r="D196" s="57" t="s">
        <v>30</v>
      </c>
      <c r="E196" s="57" t="s">
        <v>34</v>
      </c>
    </row>
    <row r="197" spans="1:5" s="57" customFormat="1" x14ac:dyDescent="0.2">
      <c r="A197" s="59" t="s">
        <v>119</v>
      </c>
      <c r="B197" s="70">
        <f>36.61</f>
        <v>36.61</v>
      </c>
      <c r="C197" s="57" t="s">
        <v>169</v>
      </c>
      <c r="D197" s="57" t="s">
        <v>24</v>
      </c>
      <c r="E197" s="57" t="s">
        <v>25</v>
      </c>
    </row>
    <row r="198" spans="1:5" s="57" customFormat="1" x14ac:dyDescent="0.2">
      <c r="A198" s="59"/>
      <c r="B198" s="70"/>
    </row>
    <row r="199" spans="1:5" s="57" customFormat="1" x14ac:dyDescent="0.2">
      <c r="A199" s="59" t="s">
        <v>118</v>
      </c>
      <c r="B199" s="70">
        <f>47.2</f>
        <v>47.2</v>
      </c>
      <c r="C199" s="57" t="s">
        <v>169</v>
      </c>
      <c r="D199" s="57" t="s">
        <v>24</v>
      </c>
      <c r="E199" s="57" t="s">
        <v>25</v>
      </c>
    </row>
    <row r="200" spans="1:5" s="57" customFormat="1" x14ac:dyDescent="0.2">
      <c r="A200" s="59" t="s">
        <v>64</v>
      </c>
      <c r="B200" s="70">
        <f>289+97-48.5-164</f>
        <v>173.5</v>
      </c>
      <c r="C200" s="57" t="s">
        <v>169</v>
      </c>
      <c r="D200" s="57" t="s">
        <v>30</v>
      </c>
      <c r="E200" s="57" t="s">
        <v>31</v>
      </c>
    </row>
    <row r="201" spans="1:5" s="57" customFormat="1" x14ac:dyDescent="0.2">
      <c r="A201" s="59" t="s">
        <v>118</v>
      </c>
      <c r="B201" s="70">
        <f>88.78</f>
        <v>88.78</v>
      </c>
      <c r="C201" s="57" t="s">
        <v>169</v>
      </c>
      <c r="D201" s="57" t="s">
        <v>24</v>
      </c>
      <c r="E201" s="57" t="s">
        <v>23</v>
      </c>
    </row>
    <row r="202" spans="1:5" s="57" customFormat="1" x14ac:dyDescent="0.2">
      <c r="A202" s="59" t="s">
        <v>117</v>
      </c>
      <c r="B202" s="70">
        <f>29.38</f>
        <v>29.38</v>
      </c>
      <c r="C202" s="57" t="s">
        <v>169</v>
      </c>
      <c r="D202" s="57" t="s">
        <v>24</v>
      </c>
      <c r="E202" s="57" t="s">
        <v>23</v>
      </c>
    </row>
    <row r="203" spans="1:5" s="57" customFormat="1" x14ac:dyDescent="0.2">
      <c r="A203" s="59" t="s">
        <v>117</v>
      </c>
      <c r="B203" s="70">
        <f>25.06</f>
        <v>25.06</v>
      </c>
      <c r="C203" s="57" t="s">
        <v>169</v>
      </c>
      <c r="D203" s="57" t="s">
        <v>24</v>
      </c>
      <c r="E203" s="57" t="s">
        <v>23</v>
      </c>
    </row>
    <row r="204" spans="1:5" s="57" customFormat="1" x14ac:dyDescent="0.2">
      <c r="A204" s="59"/>
      <c r="B204" s="70"/>
    </row>
    <row r="205" spans="1:5" s="57" customFormat="1" x14ac:dyDescent="0.2">
      <c r="A205" s="59" t="s">
        <v>80</v>
      </c>
      <c r="B205" s="70">
        <f>48</f>
        <v>48</v>
      </c>
      <c r="C205" s="57" t="s">
        <v>154</v>
      </c>
      <c r="D205" s="57" t="s">
        <v>153</v>
      </c>
      <c r="E205" s="57" t="s">
        <v>23</v>
      </c>
    </row>
    <row r="206" spans="1:5" s="57" customFormat="1" x14ac:dyDescent="0.2">
      <c r="A206" s="59"/>
      <c r="B206" s="70"/>
    </row>
    <row r="207" spans="1:5" s="57" customFormat="1" x14ac:dyDescent="0.2">
      <c r="A207" s="59" t="s">
        <v>65</v>
      </c>
      <c r="B207" s="70">
        <f>325+9.3</f>
        <v>334.3</v>
      </c>
      <c r="C207" s="57" t="s">
        <v>169</v>
      </c>
      <c r="D207" s="57" t="s">
        <v>30</v>
      </c>
      <c r="E207" s="57" t="s">
        <v>31</v>
      </c>
    </row>
    <row r="208" spans="1:5" s="57" customFormat="1" x14ac:dyDescent="0.2">
      <c r="A208" s="59" t="s">
        <v>65</v>
      </c>
      <c r="B208" s="70">
        <f>25.92</f>
        <v>25.92</v>
      </c>
      <c r="C208" s="57" t="s">
        <v>169</v>
      </c>
      <c r="D208" s="57" t="s">
        <v>24</v>
      </c>
      <c r="E208" s="57" t="s">
        <v>23</v>
      </c>
    </row>
    <row r="209" spans="1:5" s="57" customFormat="1" x14ac:dyDescent="0.2">
      <c r="A209" s="59"/>
      <c r="B209" s="70"/>
    </row>
    <row r="210" spans="1:5" s="57" customFormat="1" x14ac:dyDescent="0.2">
      <c r="A210" s="59" t="s">
        <v>121</v>
      </c>
      <c r="B210" s="70">
        <f>12.42</f>
        <v>12.42</v>
      </c>
      <c r="C210" s="57" t="s">
        <v>151</v>
      </c>
      <c r="D210" s="57" t="s">
        <v>24</v>
      </c>
      <c r="E210" s="57" t="s">
        <v>25</v>
      </c>
    </row>
    <row r="211" spans="1:5" s="57" customFormat="1" x14ac:dyDescent="0.2">
      <c r="A211" s="59"/>
      <c r="B211" s="70"/>
    </row>
    <row r="212" spans="1:5" s="57" customFormat="1" x14ac:dyDescent="0.2">
      <c r="A212" s="59" t="s">
        <v>122</v>
      </c>
      <c r="B212" s="70">
        <f>31.1</f>
        <v>31.1</v>
      </c>
      <c r="C212" s="57" t="s">
        <v>169</v>
      </c>
      <c r="D212" s="57" t="s">
        <v>24</v>
      </c>
      <c r="E212" s="57" t="s">
        <v>25</v>
      </c>
    </row>
    <row r="213" spans="1:5" s="57" customFormat="1" x14ac:dyDescent="0.2">
      <c r="A213" s="59" t="s">
        <v>66</v>
      </c>
      <c r="B213" s="70">
        <f>408+156</f>
        <v>564</v>
      </c>
      <c r="C213" s="57" t="s">
        <v>169</v>
      </c>
      <c r="D213" s="57" t="s">
        <v>30</v>
      </c>
      <c r="E213" s="57" t="s">
        <v>34</v>
      </c>
    </row>
    <row r="214" spans="1:5" s="57" customFormat="1" x14ac:dyDescent="0.2">
      <c r="A214" s="59" t="s">
        <v>73</v>
      </c>
      <c r="B214" s="70">
        <f>4.9</f>
        <v>4.9000000000000004</v>
      </c>
      <c r="C214" s="57" t="s">
        <v>169</v>
      </c>
      <c r="D214" s="57" t="s">
        <v>74</v>
      </c>
      <c r="E214" s="57" t="s">
        <v>23</v>
      </c>
    </row>
    <row r="215" spans="1:5" s="57" customFormat="1" x14ac:dyDescent="0.2">
      <c r="A215" s="59" t="s">
        <v>66</v>
      </c>
      <c r="B215" s="70">
        <f>62.8</f>
        <v>62.8</v>
      </c>
      <c r="C215" s="57" t="s">
        <v>169</v>
      </c>
      <c r="D215" s="57" t="s">
        <v>75</v>
      </c>
      <c r="E215" s="57" t="s">
        <v>23</v>
      </c>
    </row>
    <row r="216" spans="1:5" s="57" customFormat="1" x14ac:dyDescent="0.2">
      <c r="A216" s="59" t="s">
        <v>73</v>
      </c>
      <c r="B216" s="70">
        <f>83.16</f>
        <v>83.16</v>
      </c>
      <c r="C216" s="57" t="s">
        <v>169</v>
      </c>
      <c r="D216" s="57" t="s">
        <v>24</v>
      </c>
      <c r="E216" s="57" t="s">
        <v>23</v>
      </c>
    </row>
    <row r="217" spans="1:5" s="57" customFormat="1" x14ac:dyDescent="0.2">
      <c r="A217" s="59" t="s">
        <v>73</v>
      </c>
      <c r="B217" s="70">
        <f>49.03</f>
        <v>49.03</v>
      </c>
      <c r="C217" s="57" t="s">
        <v>169</v>
      </c>
      <c r="D217" s="57" t="s">
        <v>24</v>
      </c>
      <c r="E217" s="57" t="s">
        <v>25</v>
      </c>
    </row>
    <row r="218" spans="1:5" s="57" customFormat="1" x14ac:dyDescent="0.2">
      <c r="A218" s="59"/>
      <c r="B218" s="70"/>
    </row>
    <row r="219" spans="1:5" s="57" customFormat="1" x14ac:dyDescent="0.2">
      <c r="A219" s="59" t="s">
        <v>123</v>
      </c>
      <c r="B219" s="70">
        <f>38.45</f>
        <v>38.450000000000003</v>
      </c>
      <c r="C219" s="57" t="s">
        <v>169</v>
      </c>
      <c r="D219" s="57" t="s">
        <v>24</v>
      </c>
      <c r="E219" s="57" t="s">
        <v>25</v>
      </c>
    </row>
    <row r="220" spans="1:5" s="57" customFormat="1" x14ac:dyDescent="0.2">
      <c r="A220" s="59" t="s">
        <v>68</v>
      </c>
      <c r="B220" s="70">
        <f>491</f>
        <v>491</v>
      </c>
      <c r="C220" s="57" t="s">
        <v>169</v>
      </c>
      <c r="D220" s="57" t="s">
        <v>30</v>
      </c>
      <c r="E220" s="57" t="s">
        <v>34</v>
      </c>
    </row>
    <row r="221" spans="1:5" s="57" customFormat="1" x14ac:dyDescent="0.2">
      <c r="A221" s="59"/>
      <c r="B221" s="70"/>
    </row>
    <row r="222" spans="1:5" s="57" customFormat="1" x14ac:dyDescent="0.2">
      <c r="A222" s="59" t="s">
        <v>126</v>
      </c>
      <c r="B222" s="70">
        <f>30.24</f>
        <v>30.24</v>
      </c>
      <c r="C222" s="57" t="s">
        <v>155</v>
      </c>
      <c r="D222" s="57" t="s">
        <v>24</v>
      </c>
      <c r="E222" s="57" t="s">
        <v>25</v>
      </c>
    </row>
    <row r="223" spans="1:5" s="57" customFormat="1" x14ac:dyDescent="0.2">
      <c r="A223" s="59" t="s">
        <v>126</v>
      </c>
      <c r="B223" s="70">
        <f>519+46.5+40</f>
        <v>605.5</v>
      </c>
      <c r="C223" s="57" t="s">
        <v>155</v>
      </c>
      <c r="D223" s="57" t="s">
        <v>30</v>
      </c>
      <c r="E223" s="57" t="s">
        <v>44</v>
      </c>
    </row>
    <row r="224" spans="1:5" s="57" customFormat="1" x14ac:dyDescent="0.2">
      <c r="A224" s="59" t="s">
        <v>126</v>
      </c>
      <c r="B224" s="70">
        <f>51.84</f>
        <v>51.84</v>
      </c>
      <c r="C224" s="57" t="s">
        <v>155</v>
      </c>
      <c r="D224" s="57" t="s">
        <v>24</v>
      </c>
      <c r="E224" s="57" t="s">
        <v>77</v>
      </c>
    </row>
    <row r="225" spans="1:5" s="57" customFormat="1" x14ac:dyDescent="0.2">
      <c r="A225" s="59" t="s">
        <v>126</v>
      </c>
      <c r="B225" s="70">
        <f>50.87</f>
        <v>50.87</v>
      </c>
      <c r="C225" s="57" t="s">
        <v>155</v>
      </c>
      <c r="D225" s="57" t="s">
        <v>24</v>
      </c>
      <c r="E225" s="57" t="s">
        <v>77</v>
      </c>
    </row>
    <row r="226" spans="1:5" s="57" customFormat="1" x14ac:dyDescent="0.2">
      <c r="A226" s="59"/>
      <c r="B226" s="70"/>
    </row>
    <row r="227" spans="1:5" s="57" customFormat="1" x14ac:dyDescent="0.2">
      <c r="A227" s="59" t="s">
        <v>136</v>
      </c>
      <c r="B227" s="74">
        <f>135</f>
        <v>135</v>
      </c>
      <c r="C227" s="57" t="s">
        <v>156</v>
      </c>
      <c r="D227" s="57" t="s">
        <v>153</v>
      </c>
      <c r="E227" s="57" t="s">
        <v>23</v>
      </c>
    </row>
    <row r="228" spans="1:5" s="57" customFormat="1" x14ac:dyDescent="0.2">
      <c r="A228" s="59"/>
      <c r="B228" s="70"/>
    </row>
    <row r="229" spans="1:5" s="57" customFormat="1" x14ac:dyDescent="0.2">
      <c r="A229" s="59" t="s">
        <v>125</v>
      </c>
      <c r="B229" s="70">
        <f>40.72</f>
        <v>40.72</v>
      </c>
      <c r="C229" s="57" t="s">
        <v>169</v>
      </c>
      <c r="D229" s="57" t="s">
        <v>24</v>
      </c>
      <c r="E229" s="57" t="s">
        <v>25</v>
      </c>
    </row>
    <row r="230" spans="1:5" s="57" customFormat="1" x14ac:dyDescent="0.2">
      <c r="A230" s="59" t="s">
        <v>67</v>
      </c>
      <c r="B230" s="70">
        <f>36.4</f>
        <v>36.4</v>
      </c>
      <c r="C230" s="57" t="s">
        <v>169</v>
      </c>
      <c r="D230" s="57" t="s">
        <v>24</v>
      </c>
      <c r="E230" s="57" t="s">
        <v>25</v>
      </c>
    </row>
    <row r="231" spans="1:5" s="57" customFormat="1" x14ac:dyDescent="0.2">
      <c r="A231" s="59" t="s">
        <v>67</v>
      </c>
      <c r="B231" s="70">
        <f>259</f>
        <v>259</v>
      </c>
      <c r="C231" s="57" t="s">
        <v>169</v>
      </c>
      <c r="D231" s="57" t="s">
        <v>30</v>
      </c>
      <c r="E231" s="57" t="s">
        <v>31</v>
      </c>
    </row>
    <row r="232" spans="1:5" s="57" customFormat="1" x14ac:dyDescent="0.2">
      <c r="A232" s="59" t="s">
        <v>124</v>
      </c>
      <c r="B232" s="70">
        <f>22.46</f>
        <v>22.46</v>
      </c>
      <c r="C232" s="57" t="s">
        <v>169</v>
      </c>
      <c r="D232" s="57" t="s">
        <v>24</v>
      </c>
      <c r="E232" s="57" t="s">
        <v>23</v>
      </c>
    </row>
    <row r="233" spans="1:5" s="57" customFormat="1" x14ac:dyDescent="0.2">
      <c r="A233" s="59" t="s">
        <v>124</v>
      </c>
      <c r="B233" s="70">
        <f>8.64</f>
        <v>8.64</v>
      </c>
      <c r="C233" s="57" t="s">
        <v>169</v>
      </c>
      <c r="D233" s="57" t="s">
        <v>24</v>
      </c>
      <c r="E233" s="57" t="s">
        <v>23</v>
      </c>
    </row>
    <row r="234" spans="1:5" s="57" customFormat="1" x14ac:dyDescent="0.2">
      <c r="A234" s="59" t="s">
        <v>124</v>
      </c>
      <c r="B234" s="70">
        <f>23.11</f>
        <v>23.11</v>
      </c>
      <c r="C234" s="57" t="s">
        <v>169</v>
      </c>
      <c r="D234" s="57" t="s">
        <v>24</v>
      </c>
      <c r="E234" s="57" t="s">
        <v>23</v>
      </c>
    </row>
    <row r="235" spans="1:5" s="57" customFormat="1" x14ac:dyDescent="0.2">
      <c r="A235" s="59"/>
      <c r="B235" s="70"/>
    </row>
    <row r="236" spans="1:5" s="57" customFormat="1" x14ac:dyDescent="0.2">
      <c r="A236" s="59" t="s">
        <v>129</v>
      </c>
      <c r="B236" s="74">
        <f>50</f>
        <v>50</v>
      </c>
      <c r="C236" s="57" t="s">
        <v>156</v>
      </c>
      <c r="D236" s="57" t="s">
        <v>153</v>
      </c>
      <c r="E236" s="57" t="s">
        <v>23</v>
      </c>
    </row>
    <row r="237" spans="1:5" s="57" customFormat="1" x14ac:dyDescent="0.2">
      <c r="A237" s="59"/>
      <c r="B237" s="74"/>
    </row>
    <row r="238" spans="1:5" s="57" customFormat="1" x14ac:dyDescent="0.2">
      <c r="A238" s="59" t="s">
        <v>70</v>
      </c>
      <c r="B238" s="70">
        <f>50.65</f>
        <v>50.65</v>
      </c>
      <c r="C238" s="57" t="s">
        <v>169</v>
      </c>
      <c r="D238" s="57" t="s">
        <v>24</v>
      </c>
      <c r="E238" s="57" t="s">
        <v>25</v>
      </c>
    </row>
    <row r="239" spans="1:5" s="57" customFormat="1" x14ac:dyDescent="0.2">
      <c r="A239" s="59" t="s">
        <v>70</v>
      </c>
      <c r="B239" s="70">
        <f>325+9.3</f>
        <v>334.3</v>
      </c>
      <c r="C239" s="57" t="s">
        <v>169</v>
      </c>
      <c r="D239" s="57" t="s">
        <v>30</v>
      </c>
      <c r="E239" s="57" t="s">
        <v>31</v>
      </c>
    </row>
    <row r="240" spans="1:5" s="57" customFormat="1" x14ac:dyDescent="0.2">
      <c r="A240" s="59"/>
      <c r="B240" s="70"/>
    </row>
    <row r="241" spans="1:5" s="57" customFormat="1" x14ac:dyDescent="0.2">
      <c r="A241" s="59" t="s">
        <v>86</v>
      </c>
      <c r="B241" s="74">
        <f>102.5</f>
        <v>102.5</v>
      </c>
      <c r="C241" s="57" t="s">
        <v>157</v>
      </c>
      <c r="D241" s="57" t="s">
        <v>153</v>
      </c>
      <c r="E241" s="57" t="s">
        <v>23</v>
      </c>
    </row>
    <row r="242" spans="1:5" s="57" customFormat="1" x14ac:dyDescent="0.2">
      <c r="A242" s="59"/>
      <c r="B242" s="74"/>
    </row>
    <row r="243" spans="1:5" s="57" customFormat="1" x14ac:dyDescent="0.2">
      <c r="A243" s="59" t="s">
        <v>69</v>
      </c>
      <c r="B243" s="70">
        <f>176+176+46.5</f>
        <v>398.5</v>
      </c>
      <c r="C243" s="57" t="s">
        <v>169</v>
      </c>
      <c r="D243" s="57" t="s">
        <v>30</v>
      </c>
      <c r="E243" s="57" t="s">
        <v>31</v>
      </c>
    </row>
    <row r="244" spans="1:5" s="57" customFormat="1" x14ac:dyDescent="0.2">
      <c r="A244" s="59"/>
      <c r="B244" s="70"/>
    </row>
    <row r="245" spans="1:5" s="57" customFormat="1" x14ac:dyDescent="0.2">
      <c r="A245" s="59" t="s">
        <v>134</v>
      </c>
      <c r="B245" s="70">
        <f>12.96</f>
        <v>12.96</v>
      </c>
      <c r="C245" s="57" t="s">
        <v>181</v>
      </c>
      <c r="D245" s="57" t="s">
        <v>24</v>
      </c>
      <c r="E245" s="57" t="s">
        <v>25</v>
      </c>
    </row>
    <row r="246" spans="1:5" s="32" customFormat="1" x14ac:dyDescent="0.2">
      <c r="A246" s="50"/>
      <c r="B246" s="31"/>
    </row>
    <row r="247" spans="1:5" s="21" customFormat="1" x14ac:dyDescent="0.2">
      <c r="A247" s="29" t="s">
        <v>20</v>
      </c>
      <c r="B247" s="75">
        <f>SUM(B20:B246)</f>
        <v>19147.755000000008</v>
      </c>
    </row>
    <row r="248" spans="1:5" s="21" customFormat="1" x14ac:dyDescent="0.2">
      <c r="A248" s="25"/>
      <c r="B248" s="26"/>
    </row>
    <row r="249" spans="1:5" customFormat="1" ht="42.75" x14ac:dyDescent="0.2">
      <c r="A249" s="93" t="s">
        <v>57</v>
      </c>
      <c r="B249" s="88"/>
      <c r="C249" s="89"/>
      <c r="D249" s="90"/>
      <c r="E249" s="90"/>
    </row>
    <row r="250" spans="1:5" s="91" customFormat="1" x14ac:dyDescent="0.2">
      <c r="A250" s="92" t="s">
        <v>2</v>
      </c>
      <c r="B250" s="22">
        <f>+B247+B16</f>
        <v>19165.255000000008</v>
      </c>
      <c r="C250" s="69"/>
      <c r="D250" s="69"/>
      <c r="E250" s="69"/>
    </row>
  </sheetData>
  <mergeCells count="7">
    <mergeCell ref="B11:C11"/>
    <mergeCell ref="B18:C18"/>
    <mergeCell ref="A1:E1"/>
    <mergeCell ref="A2:B2"/>
    <mergeCell ref="C2:D2"/>
    <mergeCell ref="B3:C3"/>
    <mergeCell ref="B7:C7"/>
  </mergeCells>
  <printOptions gridLines="1"/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B10" sqref="B10:B12"/>
    </sheetView>
  </sheetViews>
  <sheetFormatPr defaultRowHeight="12.75" x14ac:dyDescent="0.2"/>
  <cols>
    <col min="1" max="1" width="23.85546875" style="2" customWidth="1"/>
    <col min="2" max="2" width="23.140625" style="13" customWidth="1"/>
    <col min="3" max="3" width="57.7109375" style="2" customWidth="1"/>
    <col min="4" max="4" width="27.140625" style="2" customWidth="1"/>
    <col min="5" max="5" width="28.140625" style="2" customWidth="1"/>
    <col min="6" max="6" width="18.85546875" customWidth="1"/>
    <col min="7" max="7" width="18.42578125" customWidth="1"/>
  </cols>
  <sheetData>
    <row r="1" spans="1:7" s="81" customFormat="1" ht="39.75" customHeight="1" x14ac:dyDescent="0.25">
      <c r="A1" s="96" t="str">
        <f>+Travel!A1</f>
        <v>Name of organisation - Ministry of Pacific Island Affairs</v>
      </c>
      <c r="B1" s="97"/>
      <c r="C1" s="97"/>
      <c r="D1" s="97"/>
      <c r="E1" s="97"/>
    </row>
    <row r="2" spans="1:7" s="94" customFormat="1" ht="30" customHeight="1" x14ac:dyDescent="0.25">
      <c r="A2" s="98" t="str">
        <f>+Travel!A2</f>
        <v>Name of CE: Pauline A Winter</v>
      </c>
      <c r="B2" s="98"/>
      <c r="C2" s="98" t="str">
        <f>+Travel!C2</f>
        <v>Period 01/07/2014 - 30/06/2015</v>
      </c>
      <c r="D2" s="98"/>
      <c r="E2" s="65"/>
    </row>
    <row r="3" spans="1:7" ht="27" customHeight="1" x14ac:dyDescent="0.2">
      <c r="A3" s="35" t="s">
        <v>6</v>
      </c>
      <c r="B3" s="95" t="s">
        <v>4</v>
      </c>
      <c r="C3" s="95"/>
      <c r="D3" s="41"/>
      <c r="E3" s="68"/>
    </row>
    <row r="4" spans="1:7" s="61" customFormat="1" x14ac:dyDescent="0.2">
      <c r="A4" s="66" t="s">
        <v>0</v>
      </c>
      <c r="B4" s="22" t="s">
        <v>2</v>
      </c>
      <c r="C4" s="66" t="s">
        <v>139</v>
      </c>
      <c r="D4" s="66" t="s">
        <v>7</v>
      </c>
      <c r="E4" s="66" t="s">
        <v>1</v>
      </c>
    </row>
    <row r="5" spans="1:7" s="52" customFormat="1" ht="13.15" customHeight="1" x14ac:dyDescent="0.2">
      <c r="A5" s="30" t="s">
        <v>21</v>
      </c>
      <c r="B5" s="51"/>
    </row>
    <row r="6" spans="1:7" ht="11.25" customHeight="1" x14ac:dyDescent="0.2"/>
    <row r="7" spans="1:7" hidden="1" x14ac:dyDescent="0.2"/>
    <row r="8" spans="1:7" ht="27" customHeight="1" x14ac:dyDescent="0.2">
      <c r="A8" s="67" t="s">
        <v>6</v>
      </c>
      <c r="B8" s="99" t="s">
        <v>166</v>
      </c>
      <c r="C8" s="99"/>
      <c r="D8" s="67"/>
      <c r="E8" s="67"/>
    </row>
    <row r="9" spans="1:7" x14ac:dyDescent="0.2">
      <c r="A9" s="7" t="s">
        <v>0</v>
      </c>
      <c r="B9" s="15" t="s">
        <v>2</v>
      </c>
      <c r="C9" s="62" t="s">
        <v>139</v>
      </c>
      <c r="D9" s="62" t="s">
        <v>7</v>
      </c>
      <c r="E9" s="64" t="s">
        <v>1</v>
      </c>
    </row>
    <row r="10" spans="1:7" s="34" customFormat="1" ht="13.15" customHeight="1" x14ac:dyDescent="0.2">
      <c r="A10" s="30" t="s">
        <v>94</v>
      </c>
      <c r="B10" s="56">
        <f>13</f>
        <v>13</v>
      </c>
      <c r="C10" s="53" t="s">
        <v>158</v>
      </c>
      <c r="D10" s="53" t="s">
        <v>15</v>
      </c>
      <c r="E10" s="53" t="s">
        <v>25</v>
      </c>
      <c r="F10" s="60"/>
    </row>
    <row r="11" spans="1:7" s="34" customFormat="1" ht="13.15" customHeight="1" x14ac:dyDescent="0.2">
      <c r="A11" s="53"/>
      <c r="B11" s="58"/>
      <c r="C11" s="61"/>
      <c r="D11" s="53"/>
      <c r="E11" s="53"/>
    </row>
    <row r="12" spans="1:7" s="34" customFormat="1" x14ac:dyDescent="0.2">
      <c r="A12" s="47" t="s">
        <v>100</v>
      </c>
      <c r="B12" s="48">
        <f>46.7</f>
        <v>46.7</v>
      </c>
      <c r="C12" s="33" t="s">
        <v>159</v>
      </c>
      <c r="D12" s="53" t="s">
        <v>165</v>
      </c>
      <c r="E12" s="53" t="s">
        <v>25</v>
      </c>
      <c r="F12" s="60"/>
      <c r="G12" s="33"/>
    </row>
    <row r="13" spans="1:7" s="27" customFormat="1" x14ac:dyDescent="0.2">
      <c r="A13" s="28"/>
      <c r="B13" s="23"/>
      <c r="C13" s="24"/>
      <c r="D13" s="24"/>
      <c r="E13" s="24"/>
    </row>
    <row r="14" spans="1:7" s="34" customFormat="1" x14ac:dyDescent="0.2">
      <c r="A14" s="49"/>
      <c r="B14" s="76">
        <f>SUM(B10:B13)</f>
        <v>59.7</v>
      </c>
      <c r="C14" s="33"/>
      <c r="D14" s="33"/>
      <c r="E14" s="33"/>
    </row>
    <row r="16" spans="1:7" ht="42.75" x14ac:dyDescent="0.2">
      <c r="A16" s="10" t="s">
        <v>138</v>
      </c>
      <c r="B16" s="14">
        <f>B14</f>
        <v>59.7</v>
      </c>
      <c r="C16" s="8"/>
      <c r="D16" s="6"/>
      <c r="E16" s="6"/>
    </row>
  </sheetData>
  <mergeCells count="5">
    <mergeCell ref="A1:E1"/>
    <mergeCell ref="A2:B2"/>
    <mergeCell ref="C2:D2"/>
    <mergeCell ref="B3:C3"/>
    <mergeCell ref="B8:C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workbookViewId="0">
      <selection activeCell="C28" sqref="C28"/>
    </sheetView>
  </sheetViews>
  <sheetFormatPr defaultRowHeight="12.75" x14ac:dyDescent="0.2"/>
  <cols>
    <col min="1" max="1" width="23.85546875" style="2" customWidth="1"/>
    <col min="2" max="2" width="19.85546875" style="13" customWidth="1"/>
    <col min="3" max="3" width="57.5703125" style="2" customWidth="1"/>
    <col min="4" max="4" width="27.140625" style="2" customWidth="1"/>
    <col min="5" max="5" width="28.140625" style="2" customWidth="1"/>
  </cols>
  <sheetData>
    <row r="1" spans="1:5" ht="39.75" customHeight="1" x14ac:dyDescent="0.25">
      <c r="A1" s="100" t="str">
        <f>+Travel!A1</f>
        <v>Name of organisation - Ministry of Pacific Island Affairs</v>
      </c>
      <c r="B1" s="101"/>
      <c r="C1" s="101"/>
      <c r="D1" s="101"/>
      <c r="E1" s="101"/>
    </row>
    <row r="2" spans="1:5" s="94" customFormat="1" ht="30" customHeight="1" x14ac:dyDescent="0.25">
      <c r="A2" s="98" t="str">
        <f>+Travel!A2</f>
        <v>Name of CE: Pauline A Winter</v>
      </c>
      <c r="B2" s="98"/>
      <c r="C2" s="98" t="str">
        <f>+Travel!C2</f>
        <v>Period 01/07/2014 - 30/06/2015</v>
      </c>
      <c r="D2" s="98"/>
      <c r="E2" s="65"/>
    </row>
    <row r="3" spans="1:5" ht="27" customHeight="1" x14ac:dyDescent="0.2">
      <c r="A3" s="4" t="s">
        <v>8</v>
      </c>
      <c r="B3" s="99" t="s">
        <v>4</v>
      </c>
      <c r="C3" s="99"/>
      <c r="D3" s="4"/>
      <c r="E3" s="4"/>
    </row>
    <row r="4" spans="1:5" ht="21.75" customHeight="1" x14ac:dyDescent="0.2">
      <c r="A4" s="3" t="s">
        <v>0</v>
      </c>
      <c r="B4" s="22" t="s">
        <v>2</v>
      </c>
      <c r="C4" s="66" t="s">
        <v>139</v>
      </c>
      <c r="D4" s="64" t="s">
        <v>7</v>
      </c>
      <c r="E4" s="3" t="s">
        <v>9</v>
      </c>
    </row>
    <row r="5" spans="1:5" s="27" customFormat="1" x14ac:dyDescent="0.2">
      <c r="A5" s="47" t="s">
        <v>21</v>
      </c>
      <c r="B5" s="23"/>
      <c r="C5" s="24"/>
      <c r="D5" s="24"/>
      <c r="E5" s="24"/>
    </row>
    <row r="7" spans="1:5" ht="27" customHeight="1" x14ac:dyDescent="0.2">
      <c r="A7" s="4" t="s">
        <v>8</v>
      </c>
      <c r="B7" s="99" t="s">
        <v>166</v>
      </c>
      <c r="C7" s="99"/>
      <c r="D7" s="4"/>
      <c r="E7" s="4"/>
    </row>
    <row r="8" spans="1:5" ht="15" customHeight="1" x14ac:dyDescent="0.2">
      <c r="A8" s="3" t="s">
        <v>0</v>
      </c>
      <c r="B8" s="22" t="s">
        <v>2</v>
      </c>
      <c r="C8" s="66" t="s">
        <v>139</v>
      </c>
      <c r="D8" s="64" t="s">
        <v>7</v>
      </c>
      <c r="E8" s="66" t="s">
        <v>9</v>
      </c>
    </row>
    <row r="9" spans="1:5" ht="15" customHeight="1" x14ac:dyDescent="0.2">
      <c r="A9" s="61"/>
      <c r="B9" s="80"/>
      <c r="C9" s="61"/>
      <c r="D9" s="61"/>
      <c r="E9" s="61"/>
    </row>
    <row r="10" spans="1:5" ht="15" customHeight="1" x14ac:dyDescent="0.2">
      <c r="A10" s="53" t="s">
        <v>185</v>
      </c>
      <c r="B10" s="58">
        <v>78.760000000000005</v>
      </c>
      <c r="C10" s="53" t="s">
        <v>200</v>
      </c>
      <c r="D10" s="33" t="s">
        <v>209</v>
      </c>
      <c r="E10" s="53" t="s">
        <v>161</v>
      </c>
    </row>
    <row r="11" spans="1:5" ht="15" customHeight="1" x14ac:dyDescent="0.2">
      <c r="A11" s="53"/>
      <c r="B11" s="58"/>
      <c r="C11" s="53"/>
      <c r="D11" s="33"/>
      <c r="E11" s="53"/>
    </row>
    <row r="12" spans="1:5" ht="15" customHeight="1" x14ac:dyDescent="0.2">
      <c r="A12" s="53" t="s">
        <v>184</v>
      </c>
      <c r="B12" s="58">
        <v>15.17</v>
      </c>
      <c r="C12" s="53" t="s">
        <v>201</v>
      </c>
      <c r="D12" s="33" t="s">
        <v>183</v>
      </c>
      <c r="E12" s="53" t="s">
        <v>161</v>
      </c>
    </row>
    <row r="13" spans="1:5" ht="15" customHeight="1" x14ac:dyDescent="0.2">
      <c r="A13" s="53"/>
      <c r="B13" s="58"/>
      <c r="C13" s="53"/>
      <c r="D13" s="33"/>
      <c r="E13" s="53"/>
    </row>
    <row r="14" spans="1:5" ht="15" customHeight="1" x14ac:dyDescent="0.2">
      <c r="A14" s="53" t="s">
        <v>186</v>
      </c>
      <c r="B14" s="58">
        <v>45.56</v>
      </c>
      <c r="C14" s="53" t="s">
        <v>202</v>
      </c>
      <c r="D14" s="33" t="s">
        <v>183</v>
      </c>
      <c r="E14" s="53" t="s">
        <v>161</v>
      </c>
    </row>
    <row r="15" spans="1:5" ht="15" customHeight="1" x14ac:dyDescent="0.2">
      <c r="A15" s="53"/>
      <c r="B15" s="58"/>
      <c r="C15" s="53"/>
      <c r="D15" s="33"/>
      <c r="E15" s="53"/>
    </row>
    <row r="16" spans="1:5" ht="15" customHeight="1" x14ac:dyDescent="0.2">
      <c r="A16" s="53" t="s">
        <v>187</v>
      </c>
      <c r="B16" s="58">
        <v>47.09</v>
      </c>
      <c r="C16" s="53" t="s">
        <v>203</v>
      </c>
      <c r="D16" s="33" t="s">
        <v>183</v>
      </c>
      <c r="E16" s="53" t="s">
        <v>161</v>
      </c>
    </row>
    <row r="17" spans="1:6" ht="15" customHeight="1" x14ac:dyDescent="0.2">
      <c r="A17" s="53"/>
      <c r="B17" s="58"/>
      <c r="C17" s="53"/>
      <c r="D17" s="33"/>
      <c r="E17" s="53"/>
    </row>
    <row r="18" spans="1:6" ht="15" customHeight="1" x14ac:dyDescent="0.2">
      <c r="A18" s="53" t="s">
        <v>101</v>
      </c>
      <c r="B18" s="58">
        <v>46.58</v>
      </c>
      <c r="C18" s="53" t="s">
        <v>204</v>
      </c>
      <c r="D18" s="33" t="s">
        <v>183</v>
      </c>
      <c r="E18" s="53" t="s">
        <v>161</v>
      </c>
    </row>
    <row r="19" spans="1:6" ht="15" customHeight="1" x14ac:dyDescent="0.2">
      <c r="A19" s="53"/>
      <c r="B19" s="58"/>
      <c r="C19" s="53"/>
      <c r="D19" s="33"/>
      <c r="E19" s="53"/>
    </row>
    <row r="20" spans="1:6" ht="15" customHeight="1" x14ac:dyDescent="0.2">
      <c r="A20" s="53" t="s">
        <v>188</v>
      </c>
      <c r="B20" s="58">
        <f>42.84+54.59</f>
        <v>97.43</v>
      </c>
      <c r="C20" s="53" t="s">
        <v>205</v>
      </c>
      <c r="D20" s="33" t="s">
        <v>183</v>
      </c>
      <c r="E20" s="53" t="s">
        <v>161</v>
      </c>
    </row>
    <row r="21" spans="1:6" ht="15" customHeight="1" x14ac:dyDescent="0.2">
      <c r="A21" s="53"/>
      <c r="B21" s="58"/>
      <c r="C21" s="53"/>
      <c r="D21" s="33"/>
      <c r="E21" s="53"/>
    </row>
    <row r="22" spans="1:6" s="34" customFormat="1" x14ac:dyDescent="0.2">
      <c r="A22" s="47" t="s">
        <v>190</v>
      </c>
      <c r="B22" s="58">
        <v>290</v>
      </c>
      <c r="C22" s="33" t="s">
        <v>163</v>
      </c>
      <c r="D22" s="53" t="s">
        <v>133</v>
      </c>
      <c r="E22" s="33" t="s">
        <v>161</v>
      </c>
      <c r="F22" s="33"/>
    </row>
    <row r="23" spans="1:6" s="34" customFormat="1" x14ac:dyDescent="0.2">
      <c r="A23" s="47"/>
      <c r="B23" s="58"/>
      <c r="C23" s="33"/>
      <c r="D23" s="53"/>
      <c r="E23" s="33"/>
      <c r="F23" s="33"/>
    </row>
    <row r="24" spans="1:6" ht="15" customHeight="1" x14ac:dyDescent="0.2">
      <c r="A24" s="53" t="s">
        <v>189</v>
      </c>
      <c r="B24" s="58">
        <f>42.44+39.79</f>
        <v>82.22999999999999</v>
      </c>
      <c r="C24" s="53" t="s">
        <v>206</v>
      </c>
      <c r="D24" s="33" t="s">
        <v>183</v>
      </c>
      <c r="E24" s="53" t="s">
        <v>161</v>
      </c>
    </row>
    <row r="25" spans="1:6" ht="15" customHeight="1" x14ac:dyDescent="0.2">
      <c r="A25" s="61"/>
      <c r="B25" s="58"/>
      <c r="C25" s="61"/>
      <c r="D25" s="61"/>
      <c r="E25" s="61"/>
    </row>
    <row r="26" spans="1:6" s="34" customFormat="1" x14ac:dyDescent="0.2">
      <c r="A26" s="30" t="s">
        <v>131</v>
      </c>
      <c r="B26" s="58">
        <f>2185</f>
        <v>2185</v>
      </c>
      <c r="C26" s="78" t="s">
        <v>207</v>
      </c>
      <c r="D26" s="78" t="s">
        <v>162</v>
      </c>
      <c r="E26" s="53" t="s">
        <v>161</v>
      </c>
      <c r="F26" s="53"/>
    </row>
    <row r="27" spans="1:6" s="34" customFormat="1" x14ac:dyDescent="0.2">
      <c r="A27" s="47"/>
      <c r="B27" s="58"/>
      <c r="C27" s="33"/>
      <c r="D27" s="33"/>
      <c r="E27" s="32"/>
      <c r="F27" s="32"/>
    </row>
    <row r="28" spans="1:6" s="34" customFormat="1" x14ac:dyDescent="0.2">
      <c r="A28" s="47" t="s">
        <v>109</v>
      </c>
      <c r="B28" s="58">
        <v>1042.9000000000001</v>
      </c>
      <c r="C28" s="33" t="s">
        <v>182</v>
      </c>
      <c r="D28" s="33" t="s">
        <v>183</v>
      </c>
      <c r="E28" s="32" t="s">
        <v>161</v>
      </c>
      <c r="F28" s="32"/>
    </row>
    <row r="29" spans="1:6" s="34" customFormat="1" x14ac:dyDescent="0.2">
      <c r="A29" s="47"/>
      <c r="B29" s="58"/>
      <c r="C29" s="33"/>
      <c r="D29" s="33"/>
      <c r="E29" s="32"/>
      <c r="F29" s="32"/>
    </row>
    <row r="30" spans="1:6" s="34" customFormat="1" x14ac:dyDescent="0.2">
      <c r="A30" s="53" t="s">
        <v>191</v>
      </c>
      <c r="B30" s="58">
        <f>86.08+8.69</f>
        <v>94.77</v>
      </c>
      <c r="C30" s="53" t="s">
        <v>195</v>
      </c>
      <c r="D30" s="33" t="s">
        <v>183</v>
      </c>
      <c r="E30" s="53" t="s">
        <v>161</v>
      </c>
      <c r="F30" s="32"/>
    </row>
    <row r="31" spans="1:6" s="34" customFormat="1" x14ac:dyDescent="0.2">
      <c r="A31" s="53"/>
      <c r="B31" s="58"/>
      <c r="C31" s="53"/>
      <c r="D31" s="33"/>
      <c r="E31" s="53"/>
      <c r="F31" s="32"/>
    </row>
    <row r="32" spans="1:6" s="34" customFormat="1" x14ac:dyDescent="0.2">
      <c r="A32" s="30" t="s">
        <v>132</v>
      </c>
      <c r="B32" s="58">
        <f>397.9</f>
        <v>397.9</v>
      </c>
      <c r="C32" s="33" t="s">
        <v>160</v>
      </c>
      <c r="D32" s="53" t="s">
        <v>133</v>
      </c>
      <c r="E32" s="32" t="s">
        <v>161</v>
      </c>
      <c r="F32" s="32"/>
    </row>
    <row r="33" spans="1:6" s="34" customFormat="1" x14ac:dyDescent="0.2">
      <c r="A33" s="30"/>
      <c r="B33" s="58"/>
      <c r="C33" s="33"/>
      <c r="D33" s="53"/>
      <c r="E33" s="32"/>
      <c r="F33" s="32"/>
    </row>
    <row r="34" spans="1:6" s="34" customFormat="1" x14ac:dyDescent="0.2">
      <c r="A34" s="30" t="s">
        <v>65</v>
      </c>
      <c r="B34" s="58">
        <f>230</f>
        <v>230</v>
      </c>
      <c r="C34" s="33" t="s">
        <v>208</v>
      </c>
      <c r="D34" s="53" t="s">
        <v>162</v>
      </c>
      <c r="E34" s="32" t="s">
        <v>23</v>
      </c>
      <c r="F34" s="32"/>
    </row>
    <row r="35" spans="1:6" s="34" customFormat="1" x14ac:dyDescent="0.2">
      <c r="A35" s="30"/>
      <c r="B35" s="58"/>
      <c r="C35" s="33"/>
      <c r="D35" s="53"/>
      <c r="E35" s="32"/>
      <c r="F35" s="32"/>
    </row>
    <row r="36" spans="1:6" s="34" customFormat="1" ht="13.15" customHeight="1" x14ac:dyDescent="0.2">
      <c r="A36" s="53" t="s">
        <v>132</v>
      </c>
      <c r="B36" s="58">
        <v>85.52</v>
      </c>
      <c r="C36" s="53" t="s">
        <v>196</v>
      </c>
      <c r="D36" s="33" t="s">
        <v>183</v>
      </c>
      <c r="E36" s="53" t="s">
        <v>161</v>
      </c>
      <c r="F36" s="33"/>
    </row>
    <row r="37" spans="1:6" s="34" customFormat="1" ht="13.15" customHeight="1" x14ac:dyDescent="0.2">
      <c r="A37" s="53"/>
      <c r="B37" s="58"/>
      <c r="C37" s="53"/>
      <c r="D37" s="33"/>
      <c r="E37" s="53"/>
      <c r="F37" s="33"/>
    </row>
    <row r="38" spans="1:6" s="34" customFormat="1" ht="13.15" customHeight="1" x14ac:dyDescent="0.2">
      <c r="A38" s="53" t="s">
        <v>192</v>
      </c>
      <c r="B38" s="58">
        <v>85.38</v>
      </c>
      <c r="C38" s="53" t="s">
        <v>197</v>
      </c>
      <c r="D38" s="33" t="s">
        <v>183</v>
      </c>
      <c r="E38" s="53" t="s">
        <v>161</v>
      </c>
      <c r="F38" s="33"/>
    </row>
    <row r="39" spans="1:6" s="34" customFormat="1" ht="13.15" customHeight="1" x14ac:dyDescent="0.2">
      <c r="A39" s="53"/>
      <c r="B39" s="58"/>
      <c r="C39" s="53"/>
      <c r="D39" s="33"/>
      <c r="E39" s="53"/>
      <c r="F39" s="33"/>
    </row>
    <row r="40" spans="1:6" s="34" customFormat="1" ht="13.15" customHeight="1" x14ac:dyDescent="0.2">
      <c r="A40" s="53" t="s">
        <v>193</v>
      </c>
      <c r="B40" s="58">
        <v>101.22</v>
      </c>
      <c r="C40" s="53" t="s">
        <v>198</v>
      </c>
      <c r="D40" s="33" t="s">
        <v>183</v>
      </c>
      <c r="E40" s="53" t="s">
        <v>161</v>
      </c>
      <c r="F40" s="33"/>
    </row>
    <row r="41" spans="1:6" s="34" customFormat="1" ht="13.15" customHeight="1" x14ac:dyDescent="0.2">
      <c r="A41" s="53"/>
      <c r="B41" s="58"/>
      <c r="C41" s="53"/>
      <c r="D41" s="33"/>
      <c r="E41" s="53"/>
      <c r="F41" s="33"/>
    </row>
    <row r="42" spans="1:6" s="34" customFormat="1" ht="13.15" customHeight="1" x14ac:dyDescent="0.2">
      <c r="A42" s="53" t="s">
        <v>194</v>
      </c>
      <c r="B42" s="58">
        <v>86.88</v>
      </c>
      <c r="C42" s="53" t="s">
        <v>199</v>
      </c>
      <c r="D42" s="33" t="s">
        <v>183</v>
      </c>
      <c r="E42" s="53" t="s">
        <v>161</v>
      </c>
      <c r="F42" s="33"/>
    </row>
    <row r="43" spans="1:6" s="34" customFormat="1" ht="13.15" customHeight="1" x14ac:dyDescent="0.2">
      <c r="A43" s="53"/>
      <c r="B43" s="58"/>
      <c r="C43" s="53"/>
      <c r="D43" s="33"/>
      <c r="E43" s="53"/>
      <c r="F43" s="33"/>
    </row>
    <row r="44" spans="1:6" s="34" customFormat="1" ht="13.15" customHeight="1" x14ac:dyDescent="0.2">
      <c r="A44" s="53"/>
      <c r="B44" s="80">
        <f>SUM(B10:B43)</f>
        <v>5012.3900000000012</v>
      </c>
      <c r="C44" s="53"/>
      <c r="D44" s="33"/>
      <c r="E44" s="53"/>
      <c r="F44" s="33"/>
    </row>
    <row r="46" spans="1:6" ht="28.5" x14ac:dyDescent="0.2">
      <c r="A46" s="9" t="s">
        <v>137</v>
      </c>
      <c r="B46" s="14">
        <f>SUM(B10:B42)</f>
        <v>5012.3900000000012</v>
      </c>
      <c r="C46" s="8"/>
      <c r="D46" s="6"/>
      <c r="E46" s="6"/>
    </row>
  </sheetData>
  <mergeCells count="5">
    <mergeCell ref="B7:C7"/>
    <mergeCell ref="A1:E1"/>
    <mergeCell ref="A2:B2"/>
    <mergeCell ref="C2:D2"/>
    <mergeCell ref="B3:C3"/>
  </mergeCells>
  <printOptions gridLines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workbookViewId="0">
      <selection activeCell="A2" sqref="A2:XFD2"/>
    </sheetView>
  </sheetViews>
  <sheetFormatPr defaultRowHeight="12.75" x14ac:dyDescent="0.2"/>
  <cols>
    <col min="1" max="1" width="23.85546875" style="40" customWidth="1"/>
    <col min="2" max="2" width="23.140625" style="2" customWidth="1"/>
    <col min="3" max="3" width="27.42578125" style="2" customWidth="1"/>
    <col min="4" max="4" width="27.140625" style="46" customWidth="1"/>
    <col min="5" max="5" width="28.140625" style="2" customWidth="1"/>
  </cols>
  <sheetData>
    <row r="1" spans="1:5" ht="39.75" customHeight="1" x14ac:dyDescent="0.25">
      <c r="A1" s="100" t="str">
        <f>+Travel!A1</f>
        <v>Name of organisation - Ministry of Pacific Island Affairs</v>
      </c>
      <c r="B1" s="101"/>
      <c r="C1" s="101"/>
      <c r="D1" s="101"/>
      <c r="E1" s="101"/>
    </row>
    <row r="2" spans="1:5" s="94" customFormat="1" ht="30" customHeight="1" x14ac:dyDescent="0.25">
      <c r="A2" s="98" t="str">
        <f>+Travel!A2</f>
        <v>Name of CE: Pauline A Winter</v>
      </c>
      <c r="B2" s="98"/>
      <c r="C2" s="98" t="str">
        <f>+Travel!C2</f>
        <v>Period 01/07/2014 - 30/06/2015</v>
      </c>
      <c r="D2" s="98"/>
      <c r="E2" s="65"/>
    </row>
    <row r="3" spans="1:5" ht="27" customHeight="1" x14ac:dyDescent="0.2">
      <c r="A3" s="99" t="s">
        <v>18</v>
      </c>
      <c r="B3" s="103"/>
      <c r="C3" s="103"/>
      <c r="D3" s="103"/>
      <c r="E3" s="103"/>
    </row>
    <row r="4" spans="1:5" s="11" customFormat="1" ht="50.25" customHeight="1" x14ac:dyDescent="0.2">
      <c r="A4" s="104" t="s">
        <v>10</v>
      </c>
      <c r="B4" s="105"/>
      <c r="C4" s="105"/>
      <c r="D4" s="105"/>
      <c r="E4" s="105"/>
    </row>
    <row r="5" spans="1:5" ht="27" customHeight="1" x14ac:dyDescent="0.2">
      <c r="A5" s="35" t="s">
        <v>11</v>
      </c>
      <c r="B5" s="95"/>
      <c r="C5" s="95"/>
      <c r="D5" s="41"/>
      <c r="E5" s="5"/>
    </row>
    <row r="6" spans="1:5" ht="19.5" customHeight="1" x14ac:dyDescent="0.2">
      <c r="A6" s="36" t="s">
        <v>0</v>
      </c>
      <c r="B6" s="3" t="s">
        <v>12</v>
      </c>
      <c r="C6" s="3" t="s">
        <v>13</v>
      </c>
      <c r="D6" s="42" t="s">
        <v>14</v>
      </c>
      <c r="E6" s="3"/>
    </row>
    <row r="7" spans="1:5" s="34" customFormat="1" x14ac:dyDescent="0.2">
      <c r="A7" s="37" t="s">
        <v>21</v>
      </c>
      <c r="B7" s="33"/>
      <c r="C7" s="33"/>
      <c r="D7" s="43"/>
      <c r="E7" s="33"/>
    </row>
    <row r="9" spans="1:5" s="77" customFormat="1" ht="27" customHeight="1" x14ac:dyDescent="0.2">
      <c r="A9" s="38" t="s">
        <v>15</v>
      </c>
      <c r="B9" s="102"/>
      <c r="C9" s="102"/>
      <c r="D9" s="44"/>
      <c r="E9" s="63"/>
    </row>
    <row r="10" spans="1:5" x14ac:dyDescent="0.2">
      <c r="A10" s="36" t="s">
        <v>0</v>
      </c>
      <c r="B10" s="3" t="s">
        <v>12</v>
      </c>
      <c r="C10" s="3" t="s">
        <v>16</v>
      </c>
      <c r="D10" s="42" t="s">
        <v>17</v>
      </c>
      <c r="E10" s="3"/>
    </row>
    <row r="11" spans="1:5" x14ac:dyDescent="0.2">
      <c r="A11" s="40" t="s">
        <v>21</v>
      </c>
    </row>
    <row r="12" spans="1:5" x14ac:dyDescent="0.2">
      <c r="A12" s="39"/>
      <c r="B12" s="1"/>
      <c r="C12" s="1"/>
      <c r="D12" s="45"/>
      <c r="E12" s="1"/>
    </row>
  </sheetData>
  <mergeCells count="7">
    <mergeCell ref="B9:C9"/>
    <mergeCell ref="A3:E3"/>
    <mergeCell ref="A4:E4"/>
    <mergeCell ref="B5:C5"/>
    <mergeCell ref="A1:E1"/>
    <mergeCell ref="A2:B2"/>
    <mergeCell ref="C2:D2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</vt:lpstr>
      <vt:lpstr>Other</vt:lpstr>
      <vt:lpstr>Gifts</vt:lpstr>
      <vt:lpstr>Hospitality!Print_Area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Debbie Bell</cp:lastModifiedBy>
  <cp:lastPrinted>2015-07-15T04:55:58Z</cp:lastPrinted>
  <dcterms:created xsi:type="dcterms:W3CDTF">2010-10-17T20:59:02Z</dcterms:created>
  <dcterms:modified xsi:type="dcterms:W3CDTF">2016-07-15T04:07:34Z</dcterms:modified>
</cp:coreProperties>
</file>