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520" windowHeight="9990" firstSheet="1" activeTab="1"/>
  </bookViews>
  <sheets>
    <sheet name="Guidance for agencies" sheetId="5" state="hidden"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Expenses'!$A$1:$E$31</definedName>
    <definedName name="_xlnm.Print_Area" localSheetId="3">'Gifts and Benefits'!$A$3:$E$17</definedName>
    <definedName name="_xlnm.Print_Area" localSheetId="0">'Guidance for agencies'!$A$1:$A$43</definedName>
    <definedName name="_xlnm.Print_Area" localSheetId="2">Hospitality!$A$1:$F$16</definedName>
    <definedName name="_xlnm.Print_Area" localSheetId="1">Travel!$A$1:$D$236</definedName>
  </definedNames>
  <calcPr calcId="179017"/>
</workbook>
</file>

<file path=xl/calcChain.xml><?xml version="1.0" encoding="utf-8"?>
<calcChain xmlns="http://schemas.openxmlformats.org/spreadsheetml/2006/main">
  <c r="B98" i="1" l="1"/>
  <c r="B102" i="1"/>
  <c r="B25" i="3"/>
  <c r="B24" i="3"/>
  <c r="B23" i="3"/>
  <c r="B20" i="3"/>
  <c r="B19" i="3"/>
  <c r="B31" i="3" s="1"/>
  <c r="B228" i="1"/>
  <c r="B26" i="1"/>
  <c r="B25" i="1"/>
  <c r="B150" i="1"/>
  <c r="B149" i="1"/>
  <c r="B148" i="1"/>
  <c r="B147" i="1"/>
  <c r="B151" i="1"/>
  <c r="B146" i="1"/>
  <c r="B145" i="1"/>
  <c r="B144" i="1"/>
  <c r="B143" i="1"/>
  <c r="B142" i="1"/>
  <c r="B141" i="1"/>
  <c r="B140" i="1"/>
  <c r="B139" i="1"/>
  <c r="B138" i="1"/>
  <c r="B137" i="1"/>
  <c r="B136" i="1"/>
  <c r="B135" i="1"/>
  <c r="B134" i="1"/>
  <c r="B133" i="1"/>
  <c r="B131" i="1"/>
  <c r="B130" i="1"/>
  <c r="B129" i="1"/>
  <c r="B128" i="1"/>
  <c r="B127" i="1"/>
  <c r="B126" i="1"/>
  <c r="B124" i="1"/>
  <c r="B119" i="1"/>
  <c r="B118" i="1"/>
  <c r="B117" i="1"/>
  <c r="B116" i="1"/>
  <c r="B115" i="1"/>
  <c r="B230" i="1"/>
  <c r="B229" i="1"/>
  <c r="B24" i="1"/>
  <c r="B23" i="1"/>
  <c r="B22" i="1"/>
  <c r="B21" i="1"/>
  <c r="B20" i="1"/>
  <c r="B19" i="1"/>
  <c r="B17" i="1"/>
  <c r="B16" i="1"/>
  <c r="B15" i="1"/>
  <c r="B227" i="1"/>
  <c r="B114" i="1"/>
  <c r="B113" i="1"/>
  <c r="B112" i="1"/>
  <c r="B110" i="1"/>
  <c r="B109" i="1"/>
  <c r="B108" i="1"/>
  <c r="B107" i="1"/>
  <c r="B106" i="1"/>
  <c r="B105" i="1"/>
  <c r="B104" i="1"/>
  <c r="B103" i="1"/>
  <c r="B101" i="1"/>
  <c r="B94" i="1"/>
  <c r="B91" i="1"/>
  <c r="B88" i="1"/>
  <c r="B83" i="1"/>
  <c r="B78" i="1"/>
  <c r="B18" i="1"/>
  <c r="B14" i="1"/>
  <c r="B12" i="1"/>
  <c r="B11" i="1"/>
  <c r="B10" i="1"/>
  <c r="B69" i="1"/>
  <c r="B54" i="1"/>
  <c r="B45" i="1"/>
  <c r="B73" i="1"/>
  <c r="B62" i="1"/>
  <c r="B41" i="1"/>
  <c r="B36" i="1"/>
  <c r="B35" i="1"/>
  <c r="B3" i="2"/>
  <c r="D17" i="4"/>
  <c r="B16" i="2"/>
  <c r="B4" i="3"/>
  <c r="B3" i="3"/>
  <c r="B2" i="3"/>
  <c r="B4" i="4"/>
  <c r="B3" i="4"/>
  <c r="B2" i="4"/>
  <c r="B4" i="2"/>
  <c r="B2" i="2"/>
  <c r="B31" i="1"/>
  <c r="B235" i="1"/>
  <c r="B219" i="1"/>
  <c r="B236" i="1"/>
</calcChain>
</file>

<file path=xl/sharedStrings.xml><?xml version="1.0" encoding="utf-8"?>
<sst xmlns="http://schemas.openxmlformats.org/spreadsheetml/2006/main" count="513" uniqueCount="289">
  <si>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</si>
  <si>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</si>
  <si>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</si>
  <si>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</si>
  <si>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</si>
  <si>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</si>
  <si>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</si>
  <si>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</si>
  <si>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</si>
  <si>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</si>
  <si>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</si>
  <si>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</si>
  <si>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</si>
  <si>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</si>
  <si>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</si>
  <si>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</si>
  <si>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</si>
  <si>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</si>
  <si>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</si>
  <si>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</si>
  <si>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</si>
  <si>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</si>
  <si>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</si>
  <si>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</si>
  <si>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</si>
  <si>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</si>
  <si>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</si>
  <si>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</si>
  <si>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</si>
  <si>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</si>
  <si>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</si>
  <si>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</si>
  <si>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</si>
  <si>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</si>
  <si>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</si>
  <si>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</si>
  <si>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</si>
  <si>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</si>
  <si>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</si>
  <si>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</si>
  <si>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</si>
  <si>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</si>
  <si>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</si>
  <si>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</si>
  <si>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</si>
  <si>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</si>
  <si>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</si>
  <si>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</si>
  <si>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</si>
  <si>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</si>
  <si>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</si>
  <si>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 Mark clearly if cost include GST or not. Be consistent - all GST exclusive or all GST inclusive</t>
  </si>
  <si>
    <t>Estimated total value will appear automatically once you put information in rows above.</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</si>
  <si>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</si>
  <si>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</si>
  <si>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</si>
  <si>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</si>
  <si>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</si>
  <si>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</si>
  <si>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</si>
  <si>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</si>
  <si>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</si>
  <si>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</si>
  <si>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</si>
  <si>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</si>
  <si>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</si>
  <si>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</si>
  <si>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</si>
  <si>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</si>
  <si>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</si>
  <si>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</si>
  <si>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</si>
  <si>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</si>
  <si>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</si>
  <si>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</si>
  <si>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</si>
  <si>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</si>
  <si>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</si>
  <si>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</si>
  <si>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</si>
  <si>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</si>
  <si>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</si>
  <si>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</si>
  <si>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</si>
  <si>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</si>
  <si>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</si>
  <si>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</si>
  <si>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</si>
  <si>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</si>
  <si>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</si>
  <si>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</si>
  <si>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</si>
  <si>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</si>
  <si>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</si>
  <si>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</si>
  <si>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</si>
  <si>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</si>
  <si>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</si>
  <si>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</si>
  <si>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Ministry for Pacific Peoples</t>
  </si>
  <si>
    <t>Mac Leauanae</t>
  </si>
  <si>
    <t>Cost ($)
(inc GST)***</t>
  </si>
  <si>
    <t>13.07.2017</t>
  </si>
  <si>
    <t>24 - 27/08/2017</t>
  </si>
  <si>
    <t>30/08 - 3/09/2017</t>
  </si>
  <si>
    <t>9 - 10/09/2017</t>
  </si>
  <si>
    <t>18 - 20/09/2017</t>
  </si>
  <si>
    <t>28 - 30/09/2017</t>
  </si>
  <si>
    <t>Cost ($)****
(inc GST)</t>
  </si>
  <si>
    <t>Cost ($)
(inc GST)**</t>
  </si>
  <si>
    <t>Mea alofa</t>
  </si>
  <si>
    <t>Work cell phone cover</t>
  </si>
  <si>
    <t>Taxi from Office to Wellington Airport</t>
  </si>
  <si>
    <t xml:space="preserve">Taxi from Wellington Airport </t>
  </si>
  <si>
    <t>Taxi to Wellington Airport</t>
  </si>
  <si>
    <t>Taxi to Auckland Airport</t>
  </si>
  <si>
    <t>Taxi from Wellington Airport</t>
  </si>
  <si>
    <t>Taxi from Auckland Airport</t>
  </si>
  <si>
    <t>Mobile phone costs</t>
  </si>
  <si>
    <t>Cost (NZ$)
(inc GST)***</t>
  </si>
  <si>
    <t>Estimated value (NZ$)
(inc GST)***</t>
  </si>
  <si>
    <t>7 - 8/09/2017</t>
  </si>
  <si>
    <t>Taxi from Office</t>
  </si>
  <si>
    <t>Attending Event at Victoria University of Wellington</t>
  </si>
  <si>
    <t>Airfare Wellington/Christchurch</t>
  </si>
  <si>
    <t>Airfare Christchurch to Auckland</t>
  </si>
  <si>
    <t>Airfare Wellington/Auckland return</t>
  </si>
  <si>
    <t>Taxi to meeting</t>
  </si>
  <si>
    <t>Taxi from meeting</t>
  </si>
  <si>
    <t>Taxi to event</t>
  </si>
  <si>
    <t>Speaker at SAASIA (Sosaiete Aoga Amata Samoa I Aotearoa) Conference</t>
  </si>
  <si>
    <t>1 Blunt XS Metro Umbrella</t>
  </si>
  <si>
    <t>Pacific Perspectives</t>
  </si>
  <si>
    <t>1 Sculptured Plaque</t>
  </si>
  <si>
    <t>Victoria University</t>
  </si>
  <si>
    <t>Wellington</t>
  </si>
  <si>
    <t>Auckland</t>
  </si>
  <si>
    <t>Visiting Christchurch Regional office</t>
  </si>
  <si>
    <t>Meeting Auckland Regional Stakeholder</t>
  </si>
  <si>
    <t>Meeting Auckland Regional Stakeholders</t>
  </si>
  <si>
    <t>Taxi to Office</t>
  </si>
  <si>
    <t>9 - 12/11/2017</t>
  </si>
  <si>
    <t>ANZSOG CEO Forum in Melbourne, Australia</t>
  </si>
  <si>
    <t>Airfare Wellington to Melbourne return</t>
  </si>
  <si>
    <t>Road toll charges for rental car</t>
  </si>
  <si>
    <t>Accommodation</t>
  </si>
  <si>
    <t>Fiji Language Week Launch</t>
  </si>
  <si>
    <t>6 - 8/10/2017</t>
  </si>
  <si>
    <t>Airfare Wellington to Auckland return</t>
  </si>
  <si>
    <t>Niue Language Week Launch</t>
  </si>
  <si>
    <t>13 - 15/10/2017</t>
  </si>
  <si>
    <t>19 - 23/10/2017</t>
  </si>
  <si>
    <t>Airfare Auckland to Wellington return</t>
  </si>
  <si>
    <t>23 - 24.10.2017</t>
  </si>
  <si>
    <t>Rental car from Wellington Airport</t>
  </si>
  <si>
    <t>Airfare Wellington to Christchurch to Auckland</t>
  </si>
  <si>
    <t>Taxi from Christchurch Airport to Christchurch Office</t>
  </si>
  <si>
    <t>Airfare Auckland to Wellington</t>
  </si>
  <si>
    <t>Return to National Office</t>
  </si>
  <si>
    <t>13 - 19/11/2017</t>
  </si>
  <si>
    <t xml:space="preserve">Airfare Wellington to Auckland return </t>
  </si>
  <si>
    <t>Taxi from Auckland International Airport</t>
  </si>
  <si>
    <t>Carparking</t>
  </si>
  <si>
    <t>29/11 - 03/12/2017</t>
  </si>
  <si>
    <t>Taxi</t>
  </si>
  <si>
    <t>2 Fans</t>
  </si>
  <si>
    <t>Meals</t>
  </si>
  <si>
    <t>Meal</t>
  </si>
  <si>
    <t>Taxi trip to Wellington Airport</t>
  </si>
  <si>
    <t>Building relationships</t>
  </si>
  <si>
    <t>Gift for former Chair of Assurance, Risk and Advisory Committee</t>
  </si>
  <si>
    <t>Skills Update Limited</t>
  </si>
  <si>
    <t>To hosts of Tongan Language Week</t>
  </si>
  <si>
    <t>Held in Chief Executive's Office</t>
  </si>
  <si>
    <t>Tuvalu Tamaliki and Matua, Wellington region</t>
  </si>
  <si>
    <t>2 Gift Baskets</t>
  </si>
  <si>
    <t>Paua bowl and MPP Island shirt</t>
  </si>
  <si>
    <t>4 - 5/03/2018</t>
  </si>
  <si>
    <t>Prime Minister's Pacific Mission Visit 2018</t>
  </si>
  <si>
    <t>4 &amp; 5/03/2018</t>
  </si>
  <si>
    <t>6 - 7/03/2018</t>
  </si>
  <si>
    <t>6 &amp; 7/03/2018</t>
  </si>
  <si>
    <t>Accommodation in Samoa</t>
  </si>
  <si>
    <t>Accommodation and breakfast in Tonga</t>
  </si>
  <si>
    <t>Accommodation in Rarotonga</t>
  </si>
  <si>
    <t>Taxi in Auckland</t>
  </si>
  <si>
    <t xml:space="preserve">Taxi </t>
  </si>
  <si>
    <t>Airfare Wellington/Auckland</t>
  </si>
  <si>
    <t>25/01 - 7/02/2018</t>
  </si>
  <si>
    <t>4 - 5/02/2018</t>
  </si>
  <si>
    <t>Auckland Airport carparking</t>
  </si>
  <si>
    <t>Airfare Auckland to Bay of Islands return</t>
  </si>
  <si>
    <t>4 and 5/02/2018</t>
  </si>
  <si>
    <t>Dinner</t>
  </si>
  <si>
    <t>5.02.2018</t>
  </si>
  <si>
    <t>12 - 13/02/2018</t>
  </si>
  <si>
    <t>23 - 26/02/2018</t>
  </si>
  <si>
    <t xml:space="preserve">Airfare Wellington to Auckland </t>
  </si>
  <si>
    <t xml:space="preserve">Taxi from Auckland Airport </t>
  </si>
  <si>
    <t>12 - 15/03/2018</t>
  </si>
  <si>
    <t>Airfare Auckland to Wellngton return</t>
  </si>
  <si>
    <t>22 - 26/03/2018</t>
  </si>
  <si>
    <t>Refreshments</t>
  </si>
  <si>
    <t>To Moata'a Village Mangrove Walkway Samoa, Prime Minister's Pacific Mission Visit 2018</t>
  </si>
  <si>
    <t>Samoa</t>
  </si>
  <si>
    <t>To Village in Tonga, electricity network, Prime Minister's Pacific Mission Visit 2018</t>
  </si>
  <si>
    <t>Tonga</t>
  </si>
  <si>
    <t>3 July 2017 to 30 June 2018</t>
  </si>
  <si>
    <t>Airfare Auckland to Wellngton</t>
  </si>
  <si>
    <t>19 - 26/04/2018</t>
  </si>
  <si>
    <t>1 - 2/05/2018</t>
  </si>
  <si>
    <t>Airfare Wellington to Hamilton return</t>
  </si>
  <si>
    <t>Airfare Wellington/Christchurch return</t>
  </si>
  <si>
    <t>2 - 3/05/2018</t>
  </si>
  <si>
    <t>Rental car in Christchurch</t>
  </si>
  <si>
    <t xml:space="preserve">Carparking for rental car </t>
  </si>
  <si>
    <t>8 - 14/05/2018</t>
  </si>
  <si>
    <t>Taxi  to Auckland Airport</t>
  </si>
  <si>
    <t>2018 Pacific Heads of Mission Breakfast</t>
  </si>
  <si>
    <t>24 - 28/05/2018</t>
  </si>
  <si>
    <t>5 - 7/06/2018</t>
  </si>
  <si>
    <t>7 - 11/06/2018</t>
  </si>
  <si>
    <t>14 - 18/06/2018</t>
  </si>
  <si>
    <t>21 - 25/06/2018</t>
  </si>
  <si>
    <t>Attending Shared Prosperity Conference 2018</t>
  </si>
  <si>
    <t>Accommodation - late cancellation</t>
  </si>
  <si>
    <t>Meeting Christchurch Regional Stakeholders</t>
  </si>
  <si>
    <t>Taxi to Wellington  Airport</t>
  </si>
  <si>
    <t>Interview Panel and  visiting Auckland Regional Office</t>
  </si>
  <si>
    <t>Official Welcome for General Manager Regional Partnerships in Auckland</t>
  </si>
  <si>
    <t>Tokelau Language Week National Launch in Lower Hutt</t>
  </si>
  <si>
    <t>MPP Community Fono held at Auckland Office</t>
  </si>
  <si>
    <t>Attending Pasifika VIP Function, Auckland Regional Meetings and Pasifika Festival</t>
  </si>
  <si>
    <t>Attending the Official Launch of the Waikato Pacific Business Network</t>
  </si>
  <si>
    <t>Meeting External Auckland Regional Stakeholder</t>
  </si>
  <si>
    <t>Attending Launch of Tongan Language Week 2017</t>
  </si>
  <si>
    <t>Attending Westpac Women of Influence Gala Dinner and Meeting Auckland Regional Stakeholders</t>
  </si>
  <si>
    <t>Taxi to Event</t>
  </si>
  <si>
    <t>Taxi from Event</t>
  </si>
  <si>
    <t>Taxi from Wellington Airport to Event</t>
  </si>
  <si>
    <t>Attending ASB Polyfest Meeting, meeting Auckland Regional Stakeholders, and opening of Auckland Regional Office</t>
  </si>
  <si>
    <t>Taxi from Auckland Airport to Auckland Policy Office</t>
  </si>
  <si>
    <t>Taxi from Auckland Policy office</t>
  </si>
  <si>
    <t>Guest of Honour at Tongan Language Week Event  and Po Fiefia Event</t>
  </si>
  <si>
    <t>Attending Ministry of Education Future Forum and Tuvalu Language Week Official Launch in Auckland, and speaking at SAASIA (Sosaiete Aoga Amata Samoa I Aotearoa) Conference in Wellington</t>
  </si>
  <si>
    <t>Meetings with Auckland Career Board and Auckland Regional Stakeholders</t>
  </si>
  <si>
    <t>Taxi from Auckland Policy Office</t>
  </si>
  <si>
    <t>Auckland Regional Meetings and attending 2017 SunPix Pacific Peoples Awards</t>
  </si>
  <si>
    <t xml:space="preserve">Attending Samoa Airways welcome event </t>
  </si>
  <si>
    <t>Taxi from Airport to accommodation</t>
  </si>
  <si>
    <t>Attending Pacific Law, Custom and Constitutionalism Conference</t>
  </si>
  <si>
    <t>Taxi to Conference</t>
  </si>
  <si>
    <t>Taxi from meeting to Community Fono</t>
  </si>
  <si>
    <t>Taxi to Wellington Airport to collect luggage</t>
  </si>
  <si>
    <t>Attending Toloa Scholarships Awards Ceremony and meeting Auckland Regional Stakeholders</t>
  </si>
  <si>
    <t>Attending Mana Polyfest VIP Event and ASB Polyfest in Auckland</t>
  </si>
  <si>
    <t>Attending Prime Minister's Pacific Youth Awards Ceremony in Auckland</t>
  </si>
  <si>
    <t>Attending PBT Board meeting and RIVER meeting</t>
  </si>
  <si>
    <t>Meeting with Minister</t>
  </si>
  <si>
    <t>Meeting with Auckland Career Board and Auckland Regional Stakeholders</t>
  </si>
  <si>
    <t>Attending Kiwa Nuanua: Pacific Tech Summit</t>
  </si>
  <si>
    <t>Speaking at Pacific Graduation Celebration and meeting Auckland Regional Stakeholders</t>
  </si>
  <si>
    <t>Attend Powhiri in Auckland for Vui Mark Gosche - first member of the Pacific Community to chair a District Health Board.</t>
  </si>
  <si>
    <t>Attending 2018 Vodafone Pacific Music Awards and 2018 Pacific Heads of Mission Breakfast</t>
  </si>
  <si>
    <t>Attending Post-Budget Breakfast and meeting RIVER</t>
  </si>
  <si>
    <t>Meetings with Auckland Career Board, Pacific Elders and Other Auckland Regional Stakeholders</t>
  </si>
  <si>
    <t>Speaker at IPANZ Event, attending Sunpix and TP+ Launch and Pacific Business Awards 2018</t>
  </si>
  <si>
    <t>Return to Office after speaking at SAASIA Conference</t>
  </si>
  <si>
    <t>Keynote speaker at Ministry of Health Pasifika Staff Network</t>
  </si>
  <si>
    <t>Attending Funeral Mass with MPP staff members</t>
  </si>
  <si>
    <t>D5 Diversity Panel Discussion</t>
  </si>
  <si>
    <t>Thankyou lunch (Wellington Regional Stakeholders)</t>
  </si>
  <si>
    <t xml:space="preserve">Rental car </t>
  </si>
  <si>
    <t xml:space="preserve">Attendance at the Diversity Awards 2017 </t>
  </si>
  <si>
    <t>Taxi to meeting of external Auckland regional stakeholders</t>
  </si>
  <si>
    <t xml:space="preserve"> Tokelau Language Week National Launch </t>
  </si>
  <si>
    <t>Meetings with Auckland Regional Stakeholders</t>
  </si>
  <si>
    <t>Attendance at Waitangi Day Events in Waitangi and Auckland</t>
  </si>
  <si>
    <t>Taxi to Powhiri</t>
  </si>
  <si>
    <t>Meals in Samoa</t>
  </si>
  <si>
    <t>Meals in Rarotonga, Cook Islands</t>
  </si>
  <si>
    <t>Professional Development</t>
  </si>
  <si>
    <t>Distributed to staff</t>
  </si>
  <si>
    <t xml:space="preserve">To National Office to attend DPMC Chief Executives  meeting (post-election debrief)  </t>
  </si>
  <si>
    <t>Ava Ceremony for Southern Regional Manager in Christchurch, then meeting with External Auckland Regional Stakeholders (National Pacific Radio Trust Board and SAASIA)</t>
  </si>
  <si>
    <t>Cellphone glass screen protector</t>
  </si>
  <si>
    <t>All hospitality expenses provided by the CE in the context of his job to anyone external to the Public Service or statutory Crown entities.</t>
  </si>
  <si>
    <t>All other expenditure incurred by the Chief Executive that is not travel, hospitality or gifts</t>
  </si>
  <si>
    <t>Gifts and Hospitality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</si>
</sst>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27"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color theme="1"/>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
      <patternFill patternType="solid">
        <fgColor theme="9" tint="0.39997558519241921"/>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8" fillId="0" borderId="0" applyNumberFormat="0" applyFill="0" applyBorder="0" applyAlignment="0" applyProtection="0"/>
    <xf numFmtId="44" fontId="26" fillId="0" borderId="0" applyFont="0" applyFill="0" applyBorder="0" applyAlignment="0" applyProtection="0"/>
  </cellStyleXfs>
  <cellXfs count="240">
    <xf numFmtId="0" fontId="0" fillId="0" borderId="0" xfId="0"/>
    <xf numFmtId="0" fontId="0" fillId="0" borderId="0" xfId="0"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0" fillId="0" borderId="0" xfId="0" applyFill="1" applyBorder="1" applyAlignment="1">
      <alignment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0" fillId="0" borderId="2" xfId="0" applyFont="1" applyBorder="1" applyAlignment="1">
      <alignment wrapText="1"/>
    </xf>
    <xf numFmtId="0" fontId="6" fillId="0" borderId="0" xfId="0" applyFont="1" applyBorder="1" applyAlignment="1">
      <alignment wrapText="1"/>
    </xf>
    <xf numFmtId="0" fontId="6" fillId="0" borderId="9" xfId="0" applyFont="1" applyBorder="1" applyAlignment="1">
      <alignment wrapText="1"/>
    </xf>
    <xf numFmtId="0" fontId="6" fillId="0" borderId="0" xfId="0" applyFont="1" applyBorder="1"/>
    <xf numFmtId="0" fontId="1" fillId="0" borderId="0" xfId="0" applyFont="1" applyBorder="1" applyAlignment="1">
      <alignment vertical="center" wrapText="1"/>
    </xf>
    <xf numFmtId="0" fontId="0" fillId="0" borderId="0" xfId="0" applyAlignment="1">
      <alignment vertical="center" wrapText="1"/>
    </xf>
    <xf numFmtId="0" fontId="6" fillId="0" borderId="0" xfId="0" applyFont="1" applyBorder="1" applyAlignment="1">
      <alignment wrapText="1"/>
    </xf>
    <xf numFmtId="0" fontId="4" fillId="6"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8"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22" fillId="0" borderId="0" xfId="0" applyFont="1" applyAlignment="1">
      <alignment horizontal="justify" vertical="center"/>
    </xf>
    <xf numFmtId="0" fontId="0" fillId="0" borderId="3" xfId="0" applyBorder="1" applyAlignment="1">
      <alignment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0" fontId="23" fillId="0" borderId="0" xfId="0" applyFont="1" applyBorder="1" applyAlignment="1">
      <alignment horizontal="center" vertical="center"/>
    </xf>
    <xf numFmtId="0" fontId="11" fillId="0" borderId="0" xfId="0" applyFont="1"/>
    <xf numFmtId="0" fontId="24" fillId="0" borderId="0" xfId="1" applyFont="1"/>
    <xf numFmtId="0" fontId="12" fillId="0" borderId="0" xfId="0" applyFont="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0" fillId="0" borderId="3" xfId="0" applyFont="1" applyBorder="1" applyAlignment="1">
      <alignment wrapText="1"/>
    </xf>
    <xf numFmtId="0" fontId="0" fillId="0" borderId="5" xfId="0" applyFont="1" applyBorder="1" applyAlignment="1">
      <alignment wrapText="1"/>
    </xf>
    <xf numFmtId="0" fontId="0" fillId="0" borderId="1" xfId="0" applyFont="1" applyBorder="1" applyAlignment="1">
      <alignment wrapText="1"/>
    </xf>
    <xf numFmtId="0" fontId="0" fillId="0" borderId="11" xfId="0" applyFont="1" applyBorder="1" applyAlignment="1">
      <alignment wrapText="1"/>
    </xf>
    <xf numFmtId="0" fontId="18" fillId="0" borderId="0" xfId="1" applyAlignment="1">
      <alignment horizontal="justify" vertical="center"/>
    </xf>
    <xf numFmtId="0" fontId="0" fillId="0" borderId="0" xfId="0" applyBorder="1" applyAlignment="1">
      <alignment wrapText="1"/>
    </xf>
    <xf numFmtId="0" fontId="0" fillId="0" borderId="0" xfId="0" applyFont="1" applyFill="1" applyBorder="1" applyAlignment="1">
      <alignment wrapText="1"/>
    </xf>
    <xf numFmtId="0" fontId="4" fillId="6" borderId="12" xfId="0" applyFont="1" applyFill="1" applyBorder="1" applyAlignment="1">
      <alignment horizontal="left" wrapText="1" readingOrder="1"/>
    </xf>
    <xf numFmtId="0" fontId="0" fillId="0" borderId="9" xfId="0" applyBorder="1" applyAlignment="1">
      <alignment horizontal="left" wrapText="1"/>
    </xf>
    <xf numFmtId="0" fontId="0" fillId="0" borderId="0" xfId="0" applyAlignment="1">
      <alignment horizontal="left" wrapText="1"/>
    </xf>
    <xf numFmtId="0" fontId="0" fillId="0" borderId="0" xfId="0" applyBorder="1" applyAlignment="1">
      <alignment horizontal="left" wrapText="1"/>
    </xf>
    <xf numFmtId="0" fontId="0" fillId="0" borderId="9" xfId="0" applyBorder="1" applyAlignment="1">
      <alignment horizontal="left"/>
    </xf>
    <xf numFmtId="164" fontId="0" fillId="0" borderId="0" xfId="0" applyNumberFormat="1" applyBorder="1" applyAlignment="1">
      <alignment wrapText="1"/>
    </xf>
    <xf numFmtId="164" fontId="0" fillId="0" borderId="0" xfId="0" applyNumberFormat="1" applyAlignment="1">
      <alignment wrapText="1"/>
    </xf>
    <xf numFmtId="164" fontId="1" fillId="0" borderId="3" xfId="0" applyNumberFormat="1" applyFont="1" applyBorder="1" applyAlignment="1">
      <alignment wrapText="1"/>
    </xf>
    <xf numFmtId="164" fontId="0" fillId="0" borderId="0" xfId="0" applyNumberFormat="1" applyBorder="1" applyAlignment="1"/>
    <xf numFmtId="0" fontId="4" fillId="6" borderId="12" xfId="0" applyFont="1" applyFill="1" applyBorder="1" applyAlignment="1">
      <alignment horizontal="left" vertical="center" wrapText="1" readingOrder="1"/>
    </xf>
    <xf numFmtId="14" fontId="0" fillId="0" borderId="9" xfId="0" applyNumberFormat="1" applyFont="1" applyBorder="1" applyAlignment="1">
      <alignment horizontal="left" wrapText="1"/>
    </xf>
    <xf numFmtId="0" fontId="0" fillId="0" borderId="9" xfId="0" applyFont="1" applyBorder="1" applyAlignment="1">
      <alignment horizontal="left" wrapText="1"/>
    </xf>
    <xf numFmtId="0" fontId="6" fillId="0" borderId="9" xfId="0" applyFont="1" applyBorder="1" applyAlignment="1">
      <alignment horizontal="left" wrapText="1"/>
    </xf>
    <xf numFmtId="0" fontId="10" fillId="0" borderId="9" xfId="0" applyFont="1" applyFill="1" applyBorder="1" applyAlignment="1">
      <alignment horizontal="left" vertical="center" readingOrder="1"/>
    </xf>
    <xf numFmtId="0" fontId="0" fillId="0" borderId="9" xfId="0" applyBorder="1" applyAlignment="1">
      <alignment horizontal="left" vertical="top"/>
    </xf>
    <xf numFmtId="0" fontId="0" fillId="0" borderId="0" xfId="0" applyFont="1" applyBorder="1" applyAlignment="1">
      <alignment horizontal="left" wrapText="1"/>
    </xf>
    <xf numFmtId="0" fontId="0" fillId="0" borderId="0" xfId="0" applyFont="1" applyAlignment="1">
      <alignment horizontal="left" wrapText="1"/>
    </xf>
    <xf numFmtId="164" fontId="0" fillId="0" borderId="0" xfId="0" applyNumberFormat="1" applyFont="1" applyBorder="1" applyAlignment="1">
      <alignment wrapText="1"/>
    </xf>
    <xf numFmtId="164" fontId="0" fillId="0" borderId="3" xfId="0" applyNumberFormat="1" applyBorder="1" applyAlignment="1">
      <alignment wrapText="1"/>
    </xf>
    <xf numFmtId="164" fontId="10" fillId="0" borderId="0" xfId="0" applyNumberFormat="1" applyFont="1" applyFill="1" applyBorder="1" applyAlignment="1">
      <alignment vertical="center" readingOrder="1"/>
    </xf>
    <xf numFmtId="164" fontId="0" fillId="0" borderId="0" xfId="0" applyNumberFormat="1" applyFont="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0" xfId="0" applyBorder="1" applyAlignment="1">
      <alignment wrapText="1"/>
    </xf>
    <xf numFmtId="14" fontId="0" fillId="0" borderId="9" xfId="0" applyNumberFormat="1" applyBorder="1" applyAlignment="1">
      <alignment horizontal="left" wrapText="1"/>
    </xf>
    <xf numFmtId="0" fontId="0" fillId="0" borderId="0" xfId="0" applyFont="1" applyBorder="1" applyAlignment="1">
      <alignment wrapText="1"/>
    </xf>
    <xf numFmtId="0" fontId="0" fillId="0" borderId="6" xfId="0" applyFont="1" applyBorder="1" applyAlignment="1">
      <alignment wrapText="1"/>
    </xf>
    <xf numFmtId="164" fontId="0" fillId="0" borderId="0" xfId="0" applyNumberFormat="1" applyFont="1" applyBorder="1" applyAlignment="1">
      <alignment wrapText="1"/>
    </xf>
    <xf numFmtId="0" fontId="0" fillId="0" borderId="0" xfId="0" applyFont="1"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9" xfId="0" applyFont="1" applyBorder="1"/>
    <xf numFmtId="164" fontId="6" fillId="0" borderId="0" xfId="0" applyNumberFormat="1" applyFont="1" applyBorder="1" applyAlignment="1">
      <alignment wrapText="1"/>
    </xf>
    <xf numFmtId="0" fontId="6" fillId="0" borderId="0" xfId="0" applyFont="1" applyFill="1" applyBorder="1" applyAlignment="1">
      <alignment wrapText="1"/>
    </xf>
    <xf numFmtId="0" fontId="0" fillId="0" borderId="0" xfId="0" applyFont="1" applyBorder="1" applyAlignment="1">
      <alignment wrapText="1"/>
    </xf>
    <xf numFmtId="0" fontId="0" fillId="0" borderId="0" xfId="0" applyFont="1" applyBorder="1" applyAlignment="1">
      <alignment wrapText="1"/>
    </xf>
    <xf numFmtId="0" fontId="0" fillId="0" borderId="0" xfId="0" applyFont="1" applyBorder="1" applyAlignment="1">
      <alignment wrapText="1"/>
    </xf>
    <xf numFmtId="0" fontId="14" fillId="0" borderId="0" xfId="0" applyFont="1" applyBorder="1" applyAlignment="1">
      <alignment wrapText="1"/>
    </xf>
    <xf numFmtId="0" fontId="6" fillId="0" borderId="0" xfId="0" applyFont="1" applyAlignment="1">
      <alignment wrapText="1"/>
    </xf>
    <xf numFmtId="0" fontId="0" fillId="0" borderId="0" xfId="0" applyFont="1" applyBorder="1" applyAlignment="1">
      <alignment wrapText="1"/>
    </xf>
    <xf numFmtId="0" fontId="0" fillId="0" borderId="0" xfId="0" applyFont="1" applyBorder="1" applyAlignment="1">
      <alignment wrapText="1"/>
    </xf>
    <xf numFmtId="0" fontId="0" fillId="0" borderId="0" xfId="0" applyBorder="1" applyAlignment="1">
      <alignment wrapText="1"/>
    </xf>
    <xf numFmtId="0" fontId="3" fillId="3" borderId="3" xfId="0" applyNumberFormat="1" applyFont="1" applyFill="1" applyBorder="1" applyAlignment="1">
      <alignment vertical="center" wrapText="1" readingOrder="1"/>
    </xf>
    <xf numFmtId="0" fontId="1" fillId="0" borderId="3" xfId="0" applyFont="1" applyBorder="1" applyAlignment="1">
      <alignment vertical="center" wrapText="1"/>
    </xf>
    <xf numFmtId="0" fontId="1" fillId="0" borderId="4" xfId="0" applyFont="1" applyBorder="1" applyAlignment="1">
      <alignment horizontal="left" wrapText="1"/>
    </xf>
    <xf numFmtId="0" fontId="0" fillId="0" borderId="0" xfId="0" applyFont="1" applyBorder="1" applyAlignment="1">
      <alignment wrapText="1"/>
    </xf>
    <xf numFmtId="0" fontId="0" fillId="0" borderId="0" xfId="0" applyBorder="1" applyAlignment="1">
      <alignment wrapText="1"/>
    </xf>
    <xf numFmtId="0" fontId="0" fillId="0" borderId="9" xfId="0" applyFont="1" applyBorder="1" applyAlignment="1">
      <alignment wrapText="1"/>
    </xf>
    <xf numFmtId="0" fontId="0" fillId="0" borderId="6" xfId="0" applyFont="1" applyBorder="1" applyAlignment="1">
      <alignment wrapText="1"/>
    </xf>
    <xf numFmtId="0" fontId="0" fillId="0" borderId="0" xfId="0" applyFont="1" applyBorder="1" applyAlignment="1">
      <alignment wrapText="1"/>
    </xf>
    <xf numFmtId="0" fontId="0" fillId="0" borderId="0" xfId="0" applyBorder="1" applyAlignment="1">
      <alignment wrapText="1"/>
    </xf>
    <xf numFmtId="0" fontId="1" fillId="0" borderId="3" xfId="0" applyFont="1" applyBorder="1" applyAlignment="1">
      <alignment wrapText="1"/>
    </xf>
    <xf numFmtId="0" fontId="1" fillId="0" borderId="0" xfId="0" applyFont="1" applyFill="1" applyBorder="1" applyAlignment="1">
      <alignment vertical="center" wrapText="1"/>
    </xf>
    <xf numFmtId="0" fontId="0" fillId="0" borderId="0" xfId="0" applyFill="1" applyBorder="1" applyAlignment="1"/>
    <xf numFmtId="0" fontId="1" fillId="0" borderId="0" xfId="0" applyFont="1" applyFill="1" applyBorder="1" applyAlignment="1">
      <alignment wrapText="1"/>
    </xf>
    <xf numFmtId="0" fontId="6" fillId="0" borderId="0" xfId="0" applyFont="1" applyFill="1" applyBorder="1"/>
    <xf numFmtId="0" fontId="0" fillId="0" borderId="0" xfId="0" applyFont="1" applyFill="1" applyBorder="1" applyAlignment="1">
      <alignment horizontal="justify" vertical="center"/>
    </xf>
    <xf numFmtId="14" fontId="0" fillId="0" borderId="4" xfId="0" applyNumberFormat="1" applyBorder="1" applyAlignment="1">
      <alignment horizontal="left" wrapText="1"/>
    </xf>
    <xf numFmtId="14" fontId="0" fillId="0" borderId="10" xfId="0" applyNumberFormat="1" applyFont="1" applyBorder="1" applyAlignment="1">
      <alignment horizontal="left" wrapText="1"/>
    </xf>
    <xf numFmtId="164" fontId="0" fillId="0" borderId="1" xfId="0" applyNumberFormat="1" applyFont="1" applyBorder="1" applyAlignment="1">
      <alignment wrapText="1"/>
    </xf>
    <xf numFmtId="14" fontId="0" fillId="0" borderId="4" xfId="0" applyNumberFormat="1" applyFont="1" applyBorder="1" applyAlignment="1">
      <alignment horizontal="left" wrapText="1"/>
    </xf>
    <xf numFmtId="164" fontId="0" fillId="0" borderId="3" xfId="0" applyNumberFormat="1" applyFont="1" applyBorder="1" applyAlignment="1">
      <alignment wrapText="1"/>
    </xf>
    <xf numFmtId="14" fontId="0" fillId="0" borderId="7" xfId="0" applyNumberFormat="1" applyBorder="1" applyAlignment="1">
      <alignment horizontal="left" wrapText="1"/>
    </xf>
    <xf numFmtId="164" fontId="0" fillId="0" borderId="2" xfId="0" applyNumberFormat="1" applyBorder="1" applyAlignment="1">
      <alignment wrapText="1"/>
    </xf>
    <xf numFmtId="0" fontId="0" fillId="0" borderId="2" xfId="0" applyBorder="1" applyAlignment="1">
      <alignment wrapText="1"/>
    </xf>
    <xf numFmtId="0" fontId="0" fillId="0" borderId="8" xfId="0" applyBorder="1" applyAlignment="1">
      <alignment horizontal="center" vertical="center" wrapText="1"/>
    </xf>
    <xf numFmtId="0" fontId="0" fillId="0" borderId="4" xfId="0" applyFont="1" applyBorder="1" applyAlignment="1">
      <alignment horizontal="left" wrapText="1"/>
    </xf>
    <xf numFmtId="0" fontId="0" fillId="0" borderId="5" xfId="0" applyFont="1" applyBorder="1" applyAlignment="1">
      <alignment horizontal="center" vertical="center" wrapText="1"/>
    </xf>
    <xf numFmtId="164" fontId="0" fillId="0" borderId="3" xfId="0" applyNumberFormat="1" applyFont="1" applyFill="1" applyBorder="1" applyAlignment="1">
      <alignment wrapText="1"/>
    </xf>
    <xf numFmtId="0" fontId="0" fillId="0" borderId="5" xfId="0" applyFont="1" applyBorder="1" applyAlignment="1">
      <alignment horizontal="center" wrapText="1"/>
    </xf>
    <xf numFmtId="164" fontId="1" fillId="0" borderId="3" xfId="0" applyNumberFormat="1" applyFont="1" applyBorder="1" applyAlignment="1">
      <alignment horizontal="center" vertical="center" wrapText="1"/>
    </xf>
    <xf numFmtId="0" fontId="0" fillId="0" borderId="0" xfId="0" applyFont="1" applyBorder="1" applyAlignment="1">
      <alignment wrapText="1"/>
    </xf>
    <xf numFmtId="0" fontId="0" fillId="0" borderId="0" xfId="0" applyBorder="1" applyAlignment="1">
      <alignment wrapText="1"/>
    </xf>
    <xf numFmtId="14" fontId="0" fillId="0" borderId="12" xfId="0" applyNumberFormat="1" applyFont="1" applyBorder="1" applyAlignment="1">
      <alignment horizontal="left" wrapText="1"/>
    </xf>
    <xf numFmtId="164" fontId="0" fillId="0" borderId="12" xfId="0" applyNumberFormat="1" applyFont="1" applyBorder="1" applyAlignment="1">
      <alignment wrapText="1"/>
    </xf>
    <xf numFmtId="0" fontId="0" fillId="0" borderId="12" xfId="0" applyFont="1" applyBorder="1" applyAlignment="1">
      <alignment wrapText="1"/>
    </xf>
    <xf numFmtId="0" fontId="1" fillId="0" borderId="12" xfId="0" applyFont="1" applyBorder="1" applyAlignment="1">
      <alignment horizontal="left" wrapText="1"/>
    </xf>
    <xf numFmtId="164" fontId="1" fillId="0" borderId="12" xfId="0" applyNumberFormat="1" applyFont="1" applyBorder="1" applyAlignment="1">
      <alignment horizontal="center" vertical="center" wrapText="1"/>
    </xf>
    <xf numFmtId="0" fontId="1" fillId="0" borderId="12" xfId="0" applyFont="1" applyBorder="1" applyAlignment="1">
      <alignment vertical="center" wrapText="1"/>
    </xf>
    <xf numFmtId="14" fontId="0" fillId="0" borderId="7" xfId="0" applyNumberFormat="1" applyFont="1" applyBorder="1" applyAlignment="1">
      <alignment horizontal="left" wrapText="1"/>
    </xf>
    <xf numFmtId="164" fontId="0" fillId="0" borderId="2" xfId="0" applyNumberFormat="1" applyFont="1" applyBorder="1" applyAlignment="1">
      <alignment wrapText="1"/>
    </xf>
    <xf numFmtId="0" fontId="0" fillId="0" borderId="8" xfId="0" applyFont="1" applyBorder="1" applyAlignment="1">
      <alignment horizontal="center" vertical="center" wrapText="1"/>
    </xf>
    <xf numFmtId="0" fontId="0" fillId="0" borderId="7" xfId="0" applyFont="1" applyBorder="1" applyAlignment="1">
      <alignment horizontal="left" wrapText="1"/>
    </xf>
    <xf numFmtId="0" fontId="0" fillId="5" borderId="2" xfId="0" applyFill="1" applyBorder="1" applyAlignment="1">
      <alignment vertical="center"/>
    </xf>
    <xf numFmtId="0" fontId="0" fillId="5" borderId="8" xfId="0" applyFill="1" applyBorder="1" applyAlignment="1">
      <alignment vertical="center"/>
    </xf>
    <xf numFmtId="0" fontId="1" fillId="7" borderId="7" xfId="0" applyFont="1" applyFill="1" applyBorder="1" applyAlignment="1">
      <alignment horizontal="left" vertical="center" wrapText="1"/>
    </xf>
    <xf numFmtId="0" fontId="0" fillId="0" borderId="0" xfId="0" applyBorder="1" applyAlignment="1">
      <alignment vertical="center" wrapText="1"/>
    </xf>
    <xf numFmtId="0" fontId="0" fillId="5" borderId="2" xfId="0" applyFont="1" applyFill="1" applyBorder="1" applyAlignment="1"/>
    <xf numFmtId="0" fontId="0" fillId="5" borderId="2" xfId="0" applyFont="1" applyFill="1" applyBorder="1" applyAlignment="1">
      <alignment wrapText="1"/>
    </xf>
    <xf numFmtId="0" fontId="0" fillId="5" borderId="8" xfId="0" applyFont="1" applyFill="1" applyBorder="1" applyAlignment="1">
      <alignment wrapText="1"/>
    </xf>
    <xf numFmtId="0" fontId="6" fillId="0" borderId="6" xfId="0" applyFont="1" applyBorder="1" applyAlignment="1">
      <alignment wrapText="1"/>
    </xf>
    <xf numFmtId="164" fontId="6" fillId="0" borderId="1" xfId="0" applyNumberFormat="1" applyFont="1" applyBorder="1" applyAlignment="1">
      <alignment wrapText="1"/>
    </xf>
    <xf numFmtId="0" fontId="6" fillId="0" borderId="11" xfId="0" applyFont="1" applyBorder="1" applyAlignment="1">
      <alignment wrapText="1"/>
    </xf>
    <xf numFmtId="0" fontId="6" fillId="5" borderId="2" xfId="0" applyFont="1" applyFill="1" applyBorder="1" applyAlignment="1">
      <alignment vertical="center" wrapText="1"/>
    </xf>
    <xf numFmtId="0" fontId="6" fillId="0" borderId="5" xfId="0" applyFont="1" applyBorder="1" applyAlignment="1">
      <alignment wrapText="1"/>
    </xf>
    <xf numFmtId="0" fontId="6" fillId="0" borderId="6" xfId="0" applyFont="1" applyBorder="1"/>
    <xf numFmtId="0" fontId="0" fillId="0" borderId="6" xfId="0" applyFont="1" applyBorder="1" applyAlignment="1">
      <alignment wrapText="1"/>
    </xf>
    <xf numFmtId="14" fontId="0" fillId="0" borderId="12" xfId="0" applyNumberFormat="1" applyFont="1" applyBorder="1" applyAlignment="1">
      <alignment horizontal="left" vertical="center" wrapText="1"/>
    </xf>
    <xf numFmtId="164" fontId="0" fillId="0" borderId="12" xfId="0" applyNumberFormat="1" applyFont="1" applyBorder="1" applyAlignment="1">
      <alignment vertical="center" wrapText="1"/>
    </xf>
    <xf numFmtId="0" fontId="0" fillId="0" borderId="12" xfId="0" applyFont="1" applyBorder="1" applyAlignment="1">
      <alignment vertical="center" wrapText="1"/>
    </xf>
    <xf numFmtId="0" fontId="0" fillId="0" borderId="0" xfId="0" applyFont="1" applyAlignment="1">
      <alignment vertical="center"/>
    </xf>
    <xf numFmtId="0" fontId="0" fillId="0" borderId="9" xfId="0" applyFont="1" applyBorder="1" applyAlignment="1">
      <alignment vertical="center" wrapText="1"/>
    </xf>
    <xf numFmtId="0" fontId="0" fillId="0" borderId="0" xfId="0" applyFont="1" applyAlignment="1">
      <alignment vertical="center" wrapText="1"/>
    </xf>
    <xf numFmtId="14" fontId="6" fillId="0" borderId="4" xfId="0" applyNumberFormat="1" applyFont="1" applyBorder="1" applyAlignment="1">
      <alignment horizontal="left" wrapText="1"/>
    </xf>
    <xf numFmtId="164" fontId="6" fillId="0" borderId="3" xfId="0" applyNumberFormat="1" applyFont="1" applyBorder="1" applyAlignment="1">
      <alignment wrapText="1"/>
    </xf>
    <xf numFmtId="0" fontId="0" fillId="0" borderId="10" xfId="0" applyFont="1" applyBorder="1" applyAlignment="1">
      <alignment horizontal="left" wrapText="1"/>
    </xf>
    <xf numFmtId="0" fontId="5" fillId="5" borderId="10" xfId="0" applyFont="1" applyFill="1" applyBorder="1" applyAlignment="1">
      <alignment horizontal="left" vertical="center" readingOrder="1"/>
    </xf>
    <xf numFmtId="44" fontId="1" fillId="7" borderId="8" xfId="2" applyFont="1" applyFill="1" applyBorder="1" applyAlignment="1">
      <alignment vertical="center"/>
    </xf>
    <xf numFmtId="44" fontId="0" fillId="0" borderId="0" xfId="2" applyFont="1" applyBorder="1" applyAlignment="1">
      <alignment wrapText="1"/>
    </xf>
    <xf numFmtId="44" fontId="6" fillId="7" borderId="8" xfId="2" applyFont="1" applyFill="1" applyBorder="1" applyAlignment="1">
      <alignment vertical="center" wrapText="1"/>
    </xf>
    <xf numFmtId="44" fontId="1" fillId="5" borderId="1" xfId="2" applyFont="1" applyFill="1" applyBorder="1" applyAlignment="1">
      <alignment vertical="center"/>
    </xf>
    <xf numFmtId="44" fontId="5" fillId="5" borderId="2" xfId="2" applyFont="1" applyFill="1" applyBorder="1" applyAlignment="1">
      <alignment vertical="center" wrapText="1" readingOrder="1"/>
    </xf>
    <xf numFmtId="44" fontId="6" fillId="5" borderId="2" xfId="2" applyFont="1" applyFill="1" applyBorder="1" applyAlignment="1">
      <alignment vertical="center" wrapText="1"/>
    </xf>
    <xf numFmtId="0" fontId="1" fillId="7" borderId="4" xfId="0" applyFont="1" applyFill="1" applyBorder="1" applyAlignment="1">
      <alignment horizontal="left" vertical="center" wrapText="1"/>
    </xf>
    <xf numFmtId="44" fontId="6" fillId="7" borderId="5" xfId="2" applyFont="1" applyFill="1" applyBorder="1" applyAlignment="1">
      <alignment vertical="center" wrapText="1"/>
    </xf>
    <xf numFmtId="0" fontId="1" fillId="0" borderId="13" xfId="0" applyFont="1" applyBorder="1" applyAlignment="1">
      <alignment horizontal="left" wrapText="1"/>
    </xf>
    <xf numFmtId="164" fontId="1" fillId="0" borderId="13" xfId="0" applyNumberFormat="1" applyFont="1" applyBorder="1" applyAlignment="1">
      <alignment horizontal="center" vertical="center" wrapText="1"/>
    </xf>
    <xf numFmtId="0" fontId="1" fillId="0" borderId="13" xfId="0" applyFont="1" applyBorder="1" applyAlignment="1">
      <alignment vertical="center" wrapText="1"/>
    </xf>
    <xf numFmtId="0" fontId="3" fillId="9" borderId="8" xfId="0" applyFont="1" applyFill="1" applyBorder="1" applyAlignment="1">
      <alignment vertical="center" readingOrder="1"/>
    </xf>
    <xf numFmtId="0" fontId="6" fillId="0" borderId="4" xfId="0" applyFont="1" applyBorder="1" applyAlignment="1">
      <alignment horizontal="left" wrapText="1"/>
    </xf>
    <xf numFmtId="0" fontId="0" fillId="0" borderId="5" xfId="0" applyBorder="1" applyAlignment="1">
      <alignment wrapText="1"/>
    </xf>
    <xf numFmtId="0" fontId="0" fillId="0" borderId="1" xfId="0" applyFont="1" applyBorder="1" applyAlignment="1">
      <alignment horizontal="justify" vertical="center"/>
    </xf>
    <xf numFmtId="0" fontId="0" fillId="0" borderId="11" xfId="0" applyFont="1" applyBorder="1" applyAlignment="1">
      <alignment horizontal="justify" vertical="center"/>
    </xf>
    <xf numFmtId="0" fontId="0" fillId="0" borderId="4" xfId="0" applyFont="1" applyBorder="1" applyAlignment="1">
      <alignment wrapText="1"/>
    </xf>
    <xf numFmtId="0" fontId="6" fillId="0" borderId="14" xfId="0" applyFont="1" applyBorder="1" applyAlignment="1">
      <alignment wrapText="1"/>
    </xf>
    <xf numFmtId="0" fontId="5" fillId="2" borderId="4" xfId="0" applyFont="1" applyFill="1" applyBorder="1" applyAlignment="1">
      <alignment horizontal="left" vertical="center" wrapText="1" readingOrder="1"/>
    </xf>
    <xf numFmtId="44" fontId="5" fillId="2" borderId="3" xfId="2" applyFont="1" applyFill="1" applyBorder="1" applyAlignment="1">
      <alignment vertical="center" wrapText="1" readingOrder="1"/>
    </xf>
    <xf numFmtId="0" fontId="0" fillId="2" borderId="3" xfId="0" applyFont="1" applyFill="1" applyBorder="1" applyAlignment="1"/>
    <xf numFmtId="0" fontId="0" fillId="2" borderId="3" xfId="0" applyFont="1" applyFill="1" applyBorder="1" applyAlignment="1">
      <alignment wrapText="1"/>
    </xf>
    <xf numFmtId="0" fontId="0" fillId="2" borderId="5" xfId="0" applyFont="1" applyFill="1" applyBorder="1" applyAlignment="1">
      <alignment wrapText="1"/>
    </xf>
    <xf numFmtId="0" fontId="0" fillId="0" borderId="0" xfId="0" applyFont="1" applyBorder="1" applyAlignment="1">
      <alignment horizontal="left"/>
    </xf>
    <xf numFmtId="164" fontId="0" fillId="0" borderId="0" xfId="0" applyNumberFormat="1" applyBorder="1" applyAlignment="1">
      <alignment vertical="top" wrapText="1"/>
    </xf>
    <xf numFmtId="0" fontId="1" fillId="0" borderId="13" xfId="0" applyFont="1" applyBorder="1" applyAlignment="1">
      <alignment wrapText="1"/>
    </xf>
    <xf numFmtId="0" fontId="1" fillId="0" borderId="13" xfId="0" applyFont="1" applyBorder="1" applyAlignment="1">
      <alignment horizontal="center" vertical="center" wrapText="1"/>
    </xf>
    <xf numFmtId="0" fontId="3" fillId="4" borderId="2" xfId="0" applyFont="1" applyFill="1" applyBorder="1" applyAlignment="1">
      <alignment wrapText="1"/>
    </xf>
    <xf numFmtId="0" fontId="3" fillId="4" borderId="8" xfId="0" applyFont="1" applyFill="1" applyBorder="1" applyAlignment="1">
      <alignment wrapText="1"/>
    </xf>
    <xf numFmtId="0" fontId="1" fillId="0" borderId="13" xfId="0" applyFont="1" applyBorder="1" applyAlignment="1">
      <alignment horizontal="right" wrapText="1"/>
    </xf>
    <xf numFmtId="0" fontId="3" fillId="4" borderId="7" xfId="0" applyFont="1" applyFill="1" applyBorder="1" applyAlignment="1">
      <alignment vertical="center" wrapText="1" readingOrder="1"/>
    </xf>
    <xf numFmtId="164" fontId="1" fillId="0" borderId="13" xfId="0" applyNumberFormat="1" applyFont="1" applyBorder="1" applyAlignment="1">
      <alignment horizont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23" fillId="0" borderId="12" xfId="0" applyFont="1" applyBorder="1" applyAlignment="1">
      <alignment horizontal="center" vertical="center"/>
    </xf>
    <xf numFmtId="0" fontId="0" fillId="0" borderId="9" xfId="0" applyFont="1" applyBorder="1" applyAlignment="1">
      <alignment wrapText="1"/>
    </xf>
    <xf numFmtId="0" fontId="0" fillId="0" borderId="0" xfId="0" applyFont="1" applyBorder="1" applyAlignment="1">
      <alignment wrapText="1"/>
    </xf>
    <xf numFmtId="0" fontId="0" fillId="0" borderId="9" xfId="0" applyBorder="1" applyAlignment="1">
      <alignment wrapText="1"/>
    </xf>
    <xf numFmtId="0" fontId="0" fillId="0" borderId="0" xfId="0" applyBorder="1" applyAlignment="1">
      <alignment wrapText="1"/>
    </xf>
    <xf numFmtId="0" fontId="3" fillId="4" borderId="12"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12" xfId="0" applyFont="1" applyFill="1" applyBorder="1" applyAlignment="1">
      <alignment horizontal="center" vertical="center" wrapText="1" readingOrder="1"/>
    </xf>
    <xf numFmtId="0" fontId="16" fillId="0" borderId="12" xfId="0" applyFont="1" applyBorder="1" applyAlignment="1">
      <alignment horizontal="center" vertical="center" wrapText="1" readingOrder="1"/>
    </xf>
    <xf numFmtId="0" fontId="9" fillId="0" borderId="12" xfId="0" applyFont="1" applyFill="1" applyBorder="1" applyAlignment="1">
      <alignment horizontal="center" vertical="center" wrapText="1" readingOrder="1"/>
    </xf>
    <xf numFmtId="0" fontId="1" fillId="0" borderId="12"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9" borderId="7" xfId="0" applyFont="1" applyFill="1" applyBorder="1" applyAlignment="1">
      <alignment vertical="center" readingOrder="1"/>
    </xf>
    <xf numFmtId="0" fontId="3" fillId="9" borderId="2" xfId="0" applyFont="1" applyFill="1" applyBorder="1" applyAlignment="1">
      <alignment vertical="center" readingOrder="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1" xfId="0" applyFont="1" applyBorder="1" applyAlignment="1">
      <alignment horizontal="center" vertical="center" wrapText="1"/>
    </xf>
    <xf numFmtId="0" fontId="0" fillId="0" borderId="10" xfId="0" applyFont="1" applyBorder="1" applyAlignment="1">
      <alignment horizontal="justify" vertical="center"/>
    </xf>
    <xf numFmtId="0" fontId="0" fillId="0" borderId="1" xfId="0" applyFont="1" applyBorder="1" applyAlignment="1">
      <alignment horizontal="justify" vertical="center"/>
    </xf>
    <xf numFmtId="0" fontId="0" fillId="0" borderId="11" xfId="0" applyFont="1" applyBorder="1" applyAlignment="1">
      <alignment horizontal="justify" vertical="center"/>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9"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6" fillId="0" borderId="12" xfId="0" applyFont="1" applyBorder="1" applyAlignment="1">
      <alignment horizontal="center" vertical="center" wrapText="1"/>
    </xf>
    <xf numFmtId="0" fontId="0" fillId="0" borderId="9" xfId="0" applyFont="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6" xfId="0" applyFont="1" applyBorder="1" applyAlignment="1">
      <alignment wrapText="1"/>
    </xf>
    <xf numFmtId="0" fontId="13" fillId="0" borderId="14" xfId="0" applyFont="1" applyBorder="1" applyAlignment="1">
      <alignment horizontal="center" vertical="center"/>
    </xf>
    <xf numFmtId="0" fontId="3" fillId="4" borderId="7" xfId="0" applyFont="1" applyFill="1" applyBorder="1" applyAlignment="1">
      <alignment vertical="center" wrapText="1" readingOrder="1"/>
    </xf>
    <xf numFmtId="0" fontId="3" fillId="4" borderId="2" xfId="0" applyFont="1" applyFill="1" applyBorder="1" applyAlignment="1">
      <alignment vertical="center" wrapText="1" readingOrder="1"/>
    </xf>
    <xf numFmtId="0" fontId="17" fillId="0" borderId="14" xfId="0" applyFont="1" applyBorder="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00FF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zoomScaleNormal="100" workbookViewId="0">
      <selection activeCell="A13" sqref="A13"/>
    </sheetView>
  </sheetViews>
  <sheetFormatPr defaultColWidth="8.7109375" defaultRowHeight="14.25" x14ac:dyDescent="0.2"/>
  <cols>
    <col min="1" max="1" width="219.28515625" style="27" customWidth="1"/>
    <col min="2" max="16384" width="8.7109375" style="27"/>
  </cols>
  <sheetData>
    <row r="1" spans="1:1" ht="15" x14ac:dyDescent="0.2">
      <c r="A1" s="34" t="s">
        <v>45</v>
      </c>
    </row>
    <row r="2" spans="1:1" x14ac:dyDescent="0.2">
      <c r="A2" s="27" t="s">
        <v>67</v>
      </c>
    </row>
    <row r="3" spans="1:1" ht="15" x14ac:dyDescent="0.2">
      <c r="A3" s="28" t="s">
        <v>57</v>
      </c>
    </row>
    <row r="4" spans="1:1" x14ac:dyDescent="0.2">
      <c r="A4" s="45" t="s">
        <v>69</v>
      </c>
    </row>
    <row r="5" spans="1:1" x14ac:dyDescent="0.2">
      <c r="A5" s="45" t="s">
        <v>68</v>
      </c>
    </row>
    <row r="6" spans="1:1" x14ac:dyDescent="0.2">
      <c r="A6" s="45" t="s">
        <v>70</v>
      </c>
    </row>
    <row r="7" spans="1:1" x14ac:dyDescent="0.2">
      <c r="A7" s="45" t="s">
        <v>71</v>
      </c>
    </row>
    <row r="8" spans="1:1" ht="15" x14ac:dyDescent="0.2">
      <c r="A8" s="28" t="s">
        <v>72</v>
      </c>
    </row>
    <row r="9" spans="1:1" x14ac:dyDescent="0.2">
      <c r="A9" s="32" t="s">
        <v>73</v>
      </c>
    </row>
    <row r="10" spans="1:1" x14ac:dyDescent="0.2">
      <c r="A10" s="45" t="s">
        <v>74</v>
      </c>
    </row>
    <row r="11" spans="1:1" x14ac:dyDescent="0.2">
      <c r="A11" s="45" t="s">
        <v>75</v>
      </c>
    </row>
    <row r="12" spans="1:1" x14ac:dyDescent="0.2">
      <c r="A12" s="29" t="s">
        <v>76</v>
      </c>
    </row>
    <row r="13" spans="1:1" x14ac:dyDescent="0.2">
      <c r="A13" s="45" t="s">
        <v>77</v>
      </c>
    </row>
    <row r="14" spans="1:1" ht="15" x14ac:dyDescent="0.2">
      <c r="A14" s="28" t="s">
        <v>78</v>
      </c>
    </row>
    <row r="15" spans="1:1" x14ac:dyDescent="0.2">
      <c r="A15" s="29" t="s">
        <v>39</v>
      </c>
    </row>
    <row r="16" spans="1:1" x14ac:dyDescent="0.2">
      <c r="A16" s="30" t="s">
        <v>89</v>
      </c>
    </row>
    <row r="17" spans="1:1" x14ac:dyDescent="0.2">
      <c r="A17" s="26" t="s">
        <v>90</v>
      </c>
    </row>
    <row r="18" spans="1:1" ht="15" x14ac:dyDescent="0.2">
      <c r="A18" s="47" t="s">
        <v>41</v>
      </c>
    </row>
    <row r="19" spans="1:1" x14ac:dyDescent="0.2">
      <c r="A19" s="26" t="s">
        <v>91</v>
      </c>
    </row>
    <row r="20" spans="1:1" ht="15" x14ac:dyDescent="0.2">
      <c r="A20" s="28" t="s">
        <v>79</v>
      </c>
    </row>
    <row r="21" spans="1:1" ht="15" x14ac:dyDescent="0.2">
      <c r="A21" s="28" t="s">
        <v>80</v>
      </c>
    </row>
    <row r="22" spans="1:1" ht="29.25" x14ac:dyDescent="0.2">
      <c r="A22" s="29" t="s">
        <v>92</v>
      </c>
    </row>
    <row r="23" spans="1:1" x14ac:dyDescent="0.2">
      <c r="A23" s="29" t="s">
        <v>81</v>
      </c>
    </row>
    <row r="24" spans="1:1" ht="28.5" x14ac:dyDescent="0.2">
      <c r="A24" s="29" t="s">
        <v>93</v>
      </c>
    </row>
    <row r="25" spans="1:1" ht="28.5" x14ac:dyDescent="0.2">
      <c r="A25" s="29" t="s">
        <v>94</v>
      </c>
    </row>
    <row r="26" spans="1:1" x14ac:dyDescent="0.2">
      <c r="A26" s="29" t="s">
        <v>82</v>
      </c>
    </row>
    <row r="27" spans="1:1" ht="28.5" customHeight="1" x14ac:dyDescent="0.2">
      <c r="A27" s="29" t="s">
        <v>83</v>
      </c>
    </row>
    <row r="28" spans="1:1" ht="28.5" x14ac:dyDescent="0.2">
      <c r="A28" s="32" t="s">
        <v>84</v>
      </c>
    </row>
    <row r="29" spans="1:1" ht="15" x14ac:dyDescent="0.2">
      <c r="A29" s="28" t="s">
        <v>15</v>
      </c>
    </row>
    <row r="30" spans="1:1" ht="14.25" customHeight="1" x14ac:dyDescent="0.2">
      <c r="A30" s="30" t="s">
        <v>42</v>
      </c>
    </row>
    <row r="31" spans="1:1" ht="14.25" customHeight="1" x14ac:dyDescent="0.2">
      <c r="A31" s="30" t="s">
        <v>95</v>
      </c>
    </row>
    <row r="32" spans="1:1" x14ac:dyDescent="0.2">
      <c r="A32" s="26" t="s">
        <v>96</v>
      </c>
    </row>
    <row r="33" spans="1:1" x14ac:dyDescent="0.2">
      <c r="A33" s="26" t="s">
        <v>85</v>
      </c>
    </row>
    <row r="34" spans="1:1" ht="28.5" x14ac:dyDescent="0.2">
      <c r="A34" s="38" t="s">
        <v>86</v>
      </c>
    </row>
    <row r="35" spans="1:1" x14ac:dyDescent="0.2">
      <c r="A35" s="31" t="s">
        <v>43</v>
      </c>
    </row>
    <row r="36" spans="1:1" ht="28.5" customHeight="1" x14ac:dyDescent="0.2">
      <c r="A36" s="29" t="s">
        <v>87</v>
      </c>
    </row>
    <row r="37" spans="1:1" x14ac:dyDescent="0.2">
      <c r="A37" s="38" t="s">
        <v>44</v>
      </c>
    </row>
    <row r="38" spans="1:1" x14ac:dyDescent="0.2">
      <c r="A38" s="26" t="s">
        <v>97</v>
      </c>
    </row>
    <row r="39" spans="1:1" x14ac:dyDescent="0.2">
      <c r="A39" s="26" t="s">
        <v>88</v>
      </c>
    </row>
    <row r="40" spans="1:1" x14ac:dyDescent="0.2">
      <c r="A40" s="26"/>
    </row>
    <row r="41" spans="1:1" x14ac:dyDescent="0.2">
      <c r="A41" s="26"/>
    </row>
    <row r="42" spans="1:1" x14ac:dyDescent="0.2">
      <c r="A42" s="46" t="s">
        <v>40</v>
      </c>
    </row>
    <row r="43" spans="1:1" x14ac:dyDescent="0.2">
      <c r="A43" s="56" t="s">
        <v>98</v>
      </c>
    </row>
    <row r="48" spans="1:1" x14ac:dyDescent="0.2">
      <c r="A48" s="33"/>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5"/>
  <sheetViews>
    <sheetView tabSelected="1" zoomScaleNormal="100" zoomScaleSheetLayoutView="110" workbookViewId="0">
      <selection activeCell="H6" sqref="H6"/>
    </sheetView>
  </sheetViews>
  <sheetFormatPr defaultColWidth="9.140625" defaultRowHeight="12.75" x14ac:dyDescent="0.2"/>
  <cols>
    <col min="1" max="1" width="23.5703125" style="61" customWidth="1"/>
    <col min="2" max="2" width="18.42578125" style="65" customWidth="1"/>
    <col min="3" max="3" width="33.7109375" style="1" customWidth="1"/>
    <col min="4" max="6" width="27.5703125" style="1" customWidth="1"/>
    <col min="7" max="7" width="9.140625" style="1"/>
    <col min="8" max="8" width="14.85546875" style="1" customWidth="1"/>
    <col min="9" max="16384" width="9.140625" style="1"/>
  </cols>
  <sheetData>
    <row r="1" spans="1:8" ht="36" customHeight="1" x14ac:dyDescent="0.2">
      <c r="A1" s="200" t="s">
        <v>25</v>
      </c>
      <c r="B1" s="200"/>
      <c r="C1" s="200"/>
      <c r="D1" s="200"/>
    </row>
    <row r="2" spans="1:8" ht="36" customHeight="1" x14ac:dyDescent="0.25">
      <c r="A2" s="59" t="s">
        <v>8</v>
      </c>
      <c r="B2" s="206" t="s">
        <v>99</v>
      </c>
      <c r="C2" s="206"/>
      <c r="D2" s="206"/>
    </row>
    <row r="3" spans="1:8" ht="36" customHeight="1" x14ac:dyDescent="0.25">
      <c r="A3" s="59" t="s">
        <v>9</v>
      </c>
      <c r="B3" s="207" t="s">
        <v>100</v>
      </c>
      <c r="C3" s="207"/>
      <c r="D3" s="207"/>
    </row>
    <row r="4" spans="1:8" ht="36" customHeight="1" x14ac:dyDescent="0.25">
      <c r="A4" s="59" t="s">
        <v>3</v>
      </c>
      <c r="B4" s="207" t="s">
        <v>207</v>
      </c>
      <c r="C4" s="207"/>
      <c r="D4" s="207"/>
    </row>
    <row r="5" spans="1:8" s="2" customFormat="1" ht="36" customHeight="1" x14ac:dyDescent="0.2">
      <c r="A5" s="208" t="s">
        <v>10</v>
      </c>
      <c r="B5" s="209"/>
      <c r="C5" s="209"/>
      <c r="D5" s="209"/>
    </row>
    <row r="6" spans="1:8" s="2" customFormat="1" ht="35.25" customHeight="1" x14ac:dyDescent="0.2">
      <c r="A6" s="210" t="s">
        <v>56</v>
      </c>
      <c r="B6" s="211"/>
      <c r="C6" s="211"/>
      <c r="D6" s="211"/>
    </row>
    <row r="7" spans="1:8" s="3" customFormat="1" ht="19.5" customHeight="1" x14ac:dyDescent="0.2">
      <c r="A7" s="205" t="s">
        <v>35</v>
      </c>
      <c r="B7" s="205"/>
      <c r="C7" s="205"/>
      <c r="D7" s="205"/>
    </row>
    <row r="8" spans="1:8" s="18" customFormat="1" ht="38.25" x14ac:dyDescent="0.2">
      <c r="A8" s="135" t="s">
        <v>27</v>
      </c>
      <c r="B8" s="136" t="s">
        <v>119</v>
      </c>
      <c r="C8" s="137" t="s">
        <v>19</v>
      </c>
      <c r="D8" s="137" t="s">
        <v>59</v>
      </c>
    </row>
    <row r="9" spans="1:8" ht="22.5" customHeight="1" x14ac:dyDescent="0.2">
      <c r="A9" s="116">
        <v>43048</v>
      </c>
      <c r="B9" s="77">
        <v>34.299999999999997</v>
      </c>
      <c r="C9" s="39" t="s">
        <v>114</v>
      </c>
      <c r="D9" s="216" t="s">
        <v>142</v>
      </c>
      <c r="E9" s="82"/>
      <c r="F9" s="82"/>
    </row>
    <row r="10" spans="1:8" ht="22.5" customHeight="1" x14ac:dyDescent="0.2">
      <c r="A10" s="83" t="s">
        <v>141</v>
      </c>
      <c r="B10" s="64">
        <f>249.87+25-25-249.87+249.87+50+10+585.81+15+2+464.81+55-464.81+99-99-99+99</f>
        <v>967.68000000000006</v>
      </c>
      <c r="C10" s="109" t="s">
        <v>143</v>
      </c>
      <c r="D10" s="217"/>
      <c r="E10" s="82"/>
      <c r="F10" s="82"/>
    </row>
    <row r="11" spans="1:8" ht="22.5" customHeight="1" x14ac:dyDescent="0.2">
      <c r="A11" s="83">
        <v>43048</v>
      </c>
      <c r="B11" s="64">
        <f>98.76</f>
        <v>98.76</v>
      </c>
      <c r="C11" s="109" t="s">
        <v>272</v>
      </c>
      <c r="D11" s="217"/>
      <c r="E11" s="82"/>
      <c r="F11" s="82"/>
    </row>
    <row r="12" spans="1:8" ht="22.5" customHeight="1" x14ac:dyDescent="0.2">
      <c r="A12" s="83">
        <v>43048</v>
      </c>
      <c r="B12" s="64">
        <f>18.19</f>
        <v>18.190000000000001</v>
      </c>
      <c r="C12" s="109" t="s">
        <v>144</v>
      </c>
      <c r="D12" s="217"/>
      <c r="E12" s="82"/>
      <c r="F12" s="82"/>
    </row>
    <row r="13" spans="1:8" s="6" customFormat="1" ht="22.5" customHeight="1" x14ac:dyDescent="0.2">
      <c r="A13" s="69">
        <v>43048</v>
      </c>
      <c r="B13" s="86">
        <v>31.35</v>
      </c>
      <c r="C13" s="108" t="s">
        <v>166</v>
      </c>
      <c r="D13" s="217"/>
      <c r="E13" s="84"/>
      <c r="F13" s="84"/>
    </row>
    <row r="14" spans="1:8" s="6" customFormat="1" ht="22.5" customHeight="1" x14ac:dyDescent="0.2">
      <c r="A14" s="69">
        <v>43048</v>
      </c>
      <c r="B14" s="86">
        <f>324.04</f>
        <v>324.04000000000002</v>
      </c>
      <c r="C14" s="108" t="s">
        <v>145</v>
      </c>
      <c r="D14" s="217"/>
      <c r="E14" s="84"/>
      <c r="F14" s="84"/>
    </row>
    <row r="15" spans="1:8" s="6" customFormat="1" ht="22.5" customHeight="1" x14ac:dyDescent="0.2">
      <c r="A15" s="69">
        <v>43049</v>
      </c>
      <c r="B15" s="86">
        <f>35.54</f>
        <v>35.54</v>
      </c>
      <c r="C15" s="108" t="s">
        <v>164</v>
      </c>
      <c r="D15" s="217"/>
      <c r="E15" s="84"/>
      <c r="F15" s="84"/>
      <c r="H15" s="84"/>
    </row>
    <row r="16" spans="1:8" s="6" customFormat="1" ht="22.5" customHeight="1" x14ac:dyDescent="0.2">
      <c r="A16" s="69">
        <v>43049</v>
      </c>
      <c r="B16" s="86">
        <f>16.74</f>
        <v>16.739999999999998</v>
      </c>
      <c r="C16" s="108" t="s">
        <v>167</v>
      </c>
      <c r="D16" s="217"/>
      <c r="E16" s="84"/>
      <c r="F16" s="84"/>
    </row>
    <row r="17" spans="1:11" s="6" customFormat="1" ht="22.5" customHeight="1" x14ac:dyDescent="0.2">
      <c r="A17" s="69">
        <v>43049</v>
      </c>
      <c r="B17" s="86">
        <f>11.32</f>
        <v>11.32</v>
      </c>
      <c r="C17" s="108" t="s">
        <v>164</v>
      </c>
      <c r="D17" s="217"/>
      <c r="E17" s="84"/>
      <c r="F17" s="84"/>
      <c r="H17" s="84"/>
    </row>
    <row r="18" spans="1:11" s="6" customFormat="1" ht="22.5" customHeight="1" x14ac:dyDescent="0.2">
      <c r="A18" s="117">
        <v>43052</v>
      </c>
      <c r="B18" s="118">
        <f>33.8</f>
        <v>33.799999999999997</v>
      </c>
      <c r="C18" s="54" t="s">
        <v>186</v>
      </c>
      <c r="D18" s="218"/>
      <c r="E18" s="84"/>
      <c r="F18" s="84"/>
    </row>
    <row r="19" spans="1:11" s="6" customFormat="1" ht="22.5" customHeight="1" x14ac:dyDescent="0.2">
      <c r="A19" s="125" t="s">
        <v>177</v>
      </c>
      <c r="B19" s="120">
        <f>384.21</f>
        <v>384.21</v>
      </c>
      <c r="C19" s="52" t="s">
        <v>182</v>
      </c>
      <c r="D19" s="216" t="s">
        <v>178</v>
      </c>
      <c r="E19" s="87"/>
      <c r="F19" s="87"/>
    </row>
    <row r="20" spans="1:11" s="6" customFormat="1" ht="19.149999999999999" customHeight="1" x14ac:dyDescent="0.2">
      <c r="A20" s="70" t="s">
        <v>179</v>
      </c>
      <c r="B20" s="86">
        <f>60.34</f>
        <v>60.34</v>
      </c>
      <c r="C20" s="104" t="s">
        <v>279</v>
      </c>
      <c r="D20" s="217"/>
      <c r="E20" s="87"/>
      <c r="F20" s="87"/>
    </row>
    <row r="21" spans="1:11" s="6" customFormat="1" ht="30" customHeight="1" x14ac:dyDescent="0.2">
      <c r="A21" s="69">
        <v>43165</v>
      </c>
      <c r="B21" s="86">
        <f>213.59</f>
        <v>213.59</v>
      </c>
      <c r="C21" s="104" t="s">
        <v>183</v>
      </c>
      <c r="D21" s="217"/>
      <c r="E21" s="87"/>
      <c r="F21" s="87"/>
    </row>
    <row r="22" spans="1:11" s="6" customFormat="1" ht="22.5" customHeight="1" x14ac:dyDescent="0.2">
      <c r="A22" s="70" t="s">
        <v>180</v>
      </c>
      <c r="B22" s="86">
        <f>784</f>
        <v>784</v>
      </c>
      <c r="C22" s="104" t="s">
        <v>184</v>
      </c>
      <c r="D22" s="217"/>
      <c r="E22" s="87"/>
      <c r="F22" s="87"/>
    </row>
    <row r="23" spans="1:11" s="6" customFormat="1" ht="22.5" customHeight="1" x14ac:dyDescent="0.2">
      <c r="A23" s="70" t="s">
        <v>181</v>
      </c>
      <c r="B23" s="86">
        <f>63</f>
        <v>63</v>
      </c>
      <c r="C23" s="104" t="s">
        <v>280</v>
      </c>
      <c r="D23" s="217"/>
      <c r="E23" s="87"/>
      <c r="F23" s="87"/>
    </row>
    <row r="24" spans="1:11" s="6" customFormat="1" ht="22.5" customHeight="1" x14ac:dyDescent="0.2">
      <c r="A24" s="69">
        <v>43168</v>
      </c>
      <c r="B24" s="86">
        <f>62.2</f>
        <v>62.2</v>
      </c>
      <c r="C24" s="104" t="s">
        <v>185</v>
      </c>
      <c r="D24" s="217"/>
      <c r="E24" s="87"/>
      <c r="F24" s="87"/>
    </row>
    <row r="25" spans="1:11" s="6" customFormat="1" ht="22.5" customHeight="1" x14ac:dyDescent="0.2">
      <c r="A25" s="69">
        <v>43171</v>
      </c>
      <c r="B25" s="86">
        <f>76.4</f>
        <v>76.400000000000006</v>
      </c>
      <c r="C25" s="104" t="s">
        <v>115</v>
      </c>
      <c r="D25" s="217"/>
      <c r="E25" s="87"/>
      <c r="F25" s="87"/>
      <c r="K25" s="87"/>
    </row>
    <row r="26" spans="1:11" s="6" customFormat="1" ht="22.5" customHeight="1" x14ac:dyDescent="0.2">
      <c r="A26" s="117">
        <v>43171</v>
      </c>
      <c r="B26" s="118">
        <f>42.3</f>
        <v>42.3</v>
      </c>
      <c r="C26" s="54" t="s">
        <v>116</v>
      </c>
      <c r="D26" s="218"/>
      <c r="E26" s="87"/>
      <c r="F26" s="87"/>
    </row>
    <row r="27" spans="1:11" x14ac:dyDescent="0.2">
      <c r="A27" s="60"/>
      <c r="B27" s="64"/>
      <c r="C27" s="82"/>
      <c r="D27" s="100"/>
      <c r="E27" s="82"/>
      <c r="F27" s="82"/>
    </row>
    <row r="28" spans="1:11" x14ac:dyDescent="0.2">
      <c r="A28" s="60"/>
      <c r="B28" s="64"/>
      <c r="C28" s="40"/>
      <c r="D28" s="100"/>
      <c r="E28" s="81"/>
      <c r="F28" s="81"/>
    </row>
    <row r="29" spans="1:11" x14ac:dyDescent="0.2">
      <c r="A29" s="60"/>
      <c r="B29" s="64"/>
      <c r="C29" s="40"/>
      <c r="D29" s="100"/>
      <c r="E29" s="81"/>
      <c r="F29" s="81"/>
    </row>
    <row r="30" spans="1:11" hidden="1" x14ac:dyDescent="0.2">
      <c r="A30" s="60"/>
      <c r="B30" s="64"/>
      <c r="C30" s="40"/>
      <c r="D30" s="100"/>
      <c r="E30" s="81"/>
      <c r="F30" s="81"/>
    </row>
    <row r="31" spans="1:11" ht="19.5" customHeight="1" x14ac:dyDescent="0.2">
      <c r="A31" s="144" t="s">
        <v>4</v>
      </c>
      <c r="B31" s="166">
        <f>SUM(B9:B30)</f>
        <v>3257.7599999999998</v>
      </c>
      <c r="C31" s="40"/>
      <c r="D31" s="100"/>
      <c r="E31" s="81"/>
      <c r="F31" s="81"/>
    </row>
    <row r="32" spans="1:11" s="3" customFormat="1" ht="32.25" customHeight="1" x14ac:dyDescent="0.2">
      <c r="A32" s="212" t="s">
        <v>17</v>
      </c>
      <c r="B32" s="213"/>
      <c r="C32" s="213"/>
      <c r="D32" s="101"/>
    </row>
    <row r="33" spans="1:8" s="18" customFormat="1" ht="39" customHeight="1" x14ac:dyDescent="0.2">
      <c r="A33" s="103" t="s">
        <v>27</v>
      </c>
      <c r="B33" s="129" t="s">
        <v>101</v>
      </c>
      <c r="C33" s="102" t="s">
        <v>18</v>
      </c>
      <c r="D33" s="102" t="s">
        <v>60</v>
      </c>
    </row>
    <row r="34" spans="1:8" s="6" customFormat="1" ht="22.5" customHeight="1" x14ac:dyDescent="0.2">
      <c r="A34" s="119">
        <v>42928</v>
      </c>
      <c r="B34" s="120">
        <v>37.5</v>
      </c>
      <c r="C34" s="52" t="s">
        <v>114</v>
      </c>
      <c r="D34" s="198" t="s">
        <v>137</v>
      </c>
      <c r="E34" s="94"/>
      <c r="F34" s="167"/>
    </row>
    <row r="35" spans="1:8" s="6" customFormat="1" ht="22.5" customHeight="1" x14ac:dyDescent="0.2">
      <c r="A35" s="117">
        <v>42928</v>
      </c>
      <c r="B35" s="118">
        <f>296-296+296+9.9</f>
        <v>305.89999999999998</v>
      </c>
      <c r="C35" s="54" t="s">
        <v>124</v>
      </c>
      <c r="D35" s="219"/>
      <c r="E35" s="94"/>
      <c r="F35" s="94"/>
      <c r="H35" s="94"/>
    </row>
    <row r="36" spans="1:8" ht="30" customHeight="1" x14ac:dyDescent="0.2">
      <c r="A36" s="121">
        <v>42928</v>
      </c>
      <c r="B36" s="122">
        <f>237+9.9</f>
        <v>246.9</v>
      </c>
      <c r="C36" s="123" t="s">
        <v>125</v>
      </c>
      <c r="D36" s="124" t="s">
        <v>228</v>
      </c>
      <c r="E36" s="81"/>
      <c r="F36" s="81"/>
      <c r="H36" s="57"/>
    </row>
    <row r="37" spans="1:8" s="6" customFormat="1" ht="30" customHeight="1" x14ac:dyDescent="0.2">
      <c r="A37" s="125" t="s">
        <v>102</v>
      </c>
      <c r="B37" s="120">
        <v>26.4</v>
      </c>
      <c r="C37" s="52" t="s">
        <v>129</v>
      </c>
      <c r="D37" s="126" t="s">
        <v>234</v>
      </c>
      <c r="E37" s="94"/>
      <c r="F37" s="94"/>
    </row>
    <row r="38" spans="1:8" s="97" customFormat="1" ht="30" customHeight="1" x14ac:dyDescent="0.2">
      <c r="A38" s="119">
        <v>42934</v>
      </c>
      <c r="B38" s="120">
        <v>20.2</v>
      </c>
      <c r="C38" s="52" t="s">
        <v>127</v>
      </c>
      <c r="D38" s="126" t="s">
        <v>138</v>
      </c>
      <c r="E38" s="94"/>
      <c r="F38" s="94"/>
    </row>
    <row r="39" spans="1:8" s="6" customFormat="1" ht="22.5" customHeight="1" x14ac:dyDescent="0.2">
      <c r="A39" s="119">
        <v>42967</v>
      </c>
      <c r="B39" s="120">
        <v>38.9</v>
      </c>
      <c r="C39" s="52" t="s">
        <v>116</v>
      </c>
      <c r="D39" s="126" t="s">
        <v>158</v>
      </c>
      <c r="E39" s="94"/>
      <c r="F39" s="94"/>
    </row>
    <row r="40" spans="1:8" s="6" customFormat="1" ht="22.5" customHeight="1" x14ac:dyDescent="0.2">
      <c r="A40" s="119">
        <v>42971</v>
      </c>
      <c r="B40" s="120">
        <v>40</v>
      </c>
      <c r="C40" s="52" t="s">
        <v>112</v>
      </c>
      <c r="D40" s="198" t="s">
        <v>273</v>
      </c>
      <c r="E40" s="94"/>
      <c r="F40" s="94"/>
    </row>
    <row r="41" spans="1:8" s="6" customFormat="1" ht="22.5" customHeight="1" x14ac:dyDescent="0.2">
      <c r="A41" s="69" t="s">
        <v>103</v>
      </c>
      <c r="B41" s="86">
        <f>379+59.4+189+164</f>
        <v>791.4</v>
      </c>
      <c r="C41" s="104" t="s">
        <v>126</v>
      </c>
      <c r="D41" s="199"/>
      <c r="E41" s="93"/>
      <c r="F41" s="93"/>
    </row>
    <row r="42" spans="1:8" s="6" customFormat="1" ht="22.5" customHeight="1" x14ac:dyDescent="0.2">
      <c r="A42" s="69">
        <v>42971</v>
      </c>
      <c r="B42" s="86">
        <v>78.8</v>
      </c>
      <c r="C42" s="104" t="s">
        <v>198</v>
      </c>
      <c r="D42" s="199"/>
      <c r="E42" s="94"/>
      <c r="F42" s="94"/>
    </row>
    <row r="43" spans="1:8" s="6" customFormat="1" ht="22.5" customHeight="1" x14ac:dyDescent="0.2">
      <c r="A43" s="69">
        <v>42974</v>
      </c>
      <c r="B43" s="86">
        <v>40.799999999999997</v>
      </c>
      <c r="C43" s="104" t="s">
        <v>113</v>
      </c>
      <c r="D43" s="199"/>
      <c r="E43" s="94"/>
      <c r="F43" s="94"/>
    </row>
    <row r="44" spans="1:8" s="6" customFormat="1" ht="22.5" customHeight="1" x14ac:dyDescent="0.2">
      <c r="A44" s="119">
        <v>42977</v>
      </c>
      <c r="B44" s="120">
        <v>38.299999999999997</v>
      </c>
      <c r="C44" s="52" t="s">
        <v>114</v>
      </c>
      <c r="D44" s="198" t="s">
        <v>240</v>
      </c>
      <c r="E44" s="94"/>
      <c r="F44" s="94"/>
    </row>
    <row r="45" spans="1:8" s="6" customFormat="1" ht="22.5" customHeight="1" x14ac:dyDescent="0.2">
      <c r="A45" s="69" t="s">
        <v>104</v>
      </c>
      <c r="B45" s="86">
        <f>414+59.4+94+40+40+40+40</f>
        <v>727.4</v>
      </c>
      <c r="C45" s="104" t="s">
        <v>126</v>
      </c>
      <c r="D45" s="199"/>
      <c r="E45" s="94"/>
      <c r="F45" s="94"/>
    </row>
    <row r="46" spans="1:8" s="6" customFormat="1" ht="30" customHeight="1" x14ac:dyDescent="0.2">
      <c r="A46" s="69">
        <v>42977</v>
      </c>
      <c r="B46" s="86">
        <v>78.400000000000006</v>
      </c>
      <c r="C46" s="104" t="s">
        <v>241</v>
      </c>
      <c r="D46" s="199"/>
      <c r="E46" s="94"/>
      <c r="F46" s="94"/>
    </row>
    <row r="47" spans="1:8" s="6" customFormat="1" ht="22.5" customHeight="1" x14ac:dyDescent="0.2">
      <c r="A47" s="69">
        <v>42977</v>
      </c>
      <c r="B47" s="86">
        <v>9.6</v>
      </c>
      <c r="C47" s="104" t="s">
        <v>242</v>
      </c>
      <c r="D47" s="199"/>
      <c r="E47" s="94"/>
      <c r="F47" s="94"/>
    </row>
    <row r="48" spans="1:8" s="6" customFormat="1" ht="22.5" customHeight="1" x14ac:dyDescent="0.2">
      <c r="A48" s="119">
        <v>42979</v>
      </c>
      <c r="B48" s="120">
        <v>21.6</v>
      </c>
      <c r="C48" s="52" t="s">
        <v>127</v>
      </c>
      <c r="D48" s="198" t="s">
        <v>234</v>
      </c>
      <c r="E48" s="94"/>
      <c r="F48" s="94"/>
    </row>
    <row r="49" spans="1:6" s="6" customFormat="1" ht="22.5" customHeight="1" x14ac:dyDescent="0.2">
      <c r="A49" s="69">
        <v>42979</v>
      </c>
      <c r="B49" s="86">
        <v>13.2</v>
      </c>
      <c r="C49" s="104" t="s">
        <v>128</v>
      </c>
      <c r="D49" s="199"/>
      <c r="E49" s="94"/>
      <c r="F49" s="94"/>
    </row>
    <row r="50" spans="1:6" s="6" customFormat="1" ht="22.5" customHeight="1" x14ac:dyDescent="0.2">
      <c r="A50" s="119">
        <v>42980</v>
      </c>
      <c r="B50" s="120">
        <v>14.4</v>
      </c>
      <c r="C50" s="52" t="s">
        <v>129</v>
      </c>
      <c r="D50" s="198" t="s">
        <v>235</v>
      </c>
      <c r="E50" s="94"/>
      <c r="F50" s="94"/>
    </row>
    <row r="51" spans="1:6" s="6" customFormat="1" ht="22.5" customHeight="1" x14ac:dyDescent="0.2">
      <c r="A51" s="69">
        <v>42981</v>
      </c>
      <c r="B51" s="86">
        <v>73</v>
      </c>
      <c r="C51" s="104" t="s">
        <v>115</v>
      </c>
      <c r="D51" s="199"/>
      <c r="E51" s="94"/>
      <c r="F51" s="94"/>
    </row>
    <row r="52" spans="1:6" s="6" customFormat="1" ht="22.5" customHeight="1" x14ac:dyDescent="0.2">
      <c r="A52" s="69">
        <v>42981</v>
      </c>
      <c r="B52" s="86">
        <v>42.9</v>
      </c>
      <c r="C52" s="104" t="s">
        <v>116</v>
      </c>
      <c r="D52" s="199"/>
      <c r="E52" s="94"/>
      <c r="F52" s="94"/>
    </row>
    <row r="53" spans="1:6" s="6" customFormat="1" ht="22.5" customHeight="1" x14ac:dyDescent="0.2">
      <c r="A53" s="119">
        <v>42985</v>
      </c>
      <c r="B53" s="120">
        <v>48.4</v>
      </c>
      <c r="C53" s="52" t="s">
        <v>114</v>
      </c>
      <c r="D53" s="198" t="s">
        <v>236</v>
      </c>
      <c r="E53" s="94"/>
      <c r="F53" s="94"/>
    </row>
    <row r="54" spans="1:6" s="6" customFormat="1" ht="22.5" customHeight="1" x14ac:dyDescent="0.2">
      <c r="A54" s="69" t="s">
        <v>121</v>
      </c>
      <c r="B54" s="86">
        <f>498+99</f>
        <v>597</v>
      </c>
      <c r="C54" s="104" t="s">
        <v>126</v>
      </c>
      <c r="D54" s="199"/>
      <c r="E54" s="93"/>
      <c r="F54" s="93"/>
    </row>
    <row r="55" spans="1:6" s="6" customFormat="1" ht="22.5" customHeight="1" x14ac:dyDescent="0.2">
      <c r="A55" s="69">
        <v>42985</v>
      </c>
      <c r="B55" s="86">
        <v>79.8</v>
      </c>
      <c r="C55" s="104" t="s">
        <v>198</v>
      </c>
      <c r="D55" s="199"/>
      <c r="E55" s="94"/>
      <c r="F55" s="94"/>
    </row>
    <row r="56" spans="1:6" s="6" customFormat="1" ht="30" customHeight="1" x14ac:dyDescent="0.2">
      <c r="A56" s="69">
        <v>42985</v>
      </c>
      <c r="B56" s="86">
        <v>12.6</v>
      </c>
      <c r="C56" s="104" t="s">
        <v>274</v>
      </c>
      <c r="D56" s="199"/>
      <c r="E56" s="94"/>
      <c r="F56" s="94"/>
    </row>
    <row r="57" spans="1:6" s="6" customFormat="1" ht="22.5" customHeight="1" x14ac:dyDescent="0.2">
      <c r="A57" s="69">
        <v>42985</v>
      </c>
      <c r="B57" s="86">
        <v>21.4</v>
      </c>
      <c r="C57" s="104" t="s">
        <v>237</v>
      </c>
      <c r="D57" s="199"/>
      <c r="E57" s="94"/>
      <c r="F57" s="94"/>
    </row>
    <row r="58" spans="1:6" s="6" customFormat="1" ht="22.5" customHeight="1" x14ac:dyDescent="0.2">
      <c r="A58" s="69">
        <v>42985</v>
      </c>
      <c r="B58" s="86">
        <v>12</v>
      </c>
      <c r="C58" s="104" t="s">
        <v>238</v>
      </c>
      <c r="D58" s="199"/>
      <c r="E58" s="94"/>
      <c r="F58" s="94"/>
    </row>
    <row r="59" spans="1:6" s="6" customFormat="1" ht="22.5" customHeight="1" x14ac:dyDescent="0.2">
      <c r="A59" s="69">
        <v>42986</v>
      </c>
      <c r="B59" s="86">
        <v>73</v>
      </c>
      <c r="C59" s="104" t="s">
        <v>115</v>
      </c>
      <c r="D59" s="199"/>
      <c r="E59" s="94"/>
      <c r="F59" s="94"/>
    </row>
    <row r="60" spans="1:6" s="6" customFormat="1" ht="22.5" customHeight="1" x14ac:dyDescent="0.2">
      <c r="A60" s="69">
        <v>42986</v>
      </c>
      <c r="B60" s="86">
        <v>47.5</v>
      </c>
      <c r="C60" s="104" t="s">
        <v>116</v>
      </c>
      <c r="D60" s="199"/>
      <c r="E60" s="94"/>
      <c r="F60" s="94"/>
    </row>
    <row r="61" spans="1:6" s="6" customFormat="1" ht="22.5" customHeight="1" x14ac:dyDescent="0.2">
      <c r="A61" s="119">
        <v>42987</v>
      </c>
      <c r="B61" s="120">
        <v>29.6</v>
      </c>
      <c r="C61" s="52" t="s">
        <v>114</v>
      </c>
      <c r="D61" s="198" t="s">
        <v>243</v>
      </c>
      <c r="E61" s="94"/>
      <c r="F61" s="94"/>
    </row>
    <row r="62" spans="1:6" s="6" customFormat="1" ht="22.5" customHeight="1" x14ac:dyDescent="0.2">
      <c r="A62" s="69" t="s">
        <v>105</v>
      </c>
      <c r="B62" s="86">
        <f>468+99</f>
        <v>567</v>
      </c>
      <c r="C62" s="104" t="s">
        <v>126</v>
      </c>
      <c r="D62" s="199"/>
      <c r="E62" s="93"/>
      <c r="F62" s="93"/>
    </row>
    <row r="63" spans="1:6" s="6" customFormat="1" ht="22.5" customHeight="1" x14ac:dyDescent="0.2">
      <c r="A63" s="69">
        <v>42987</v>
      </c>
      <c r="B63" s="86">
        <v>76.8</v>
      </c>
      <c r="C63" s="104" t="s">
        <v>117</v>
      </c>
      <c r="D63" s="199"/>
      <c r="E63" s="94"/>
      <c r="F63" s="94"/>
    </row>
    <row r="64" spans="1:6" s="6" customFormat="1" ht="22.9" customHeight="1" x14ac:dyDescent="0.2">
      <c r="A64" s="69">
        <v>42988</v>
      </c>
      <c r="B64" s="86">
        <v>72</v>
      </c>
      <c r="C64" s="104" t="s">
        <v>115</v>
      </c>
      <c r="D64" s="199"/>
      <c r="E64" s="94"/>
      <c r="F64" s="94"/>
    </row>
    <row r="65" spans="1:6" s="6" customFormat="1" ht="22.5" customHeight="1" x14ac:dyDescent="0.2">
      <c r="A65" s="69">
        <v>42988</v>
      </c>
      <c r="B65" s="86">
        <v>41.8</v>
      </c>
      <c r="C65" s="104" t="s">
        <v>116</v>
      </c>
      <c r="D65" s="199"/>
      <c r="E65" s="94"/>
      <c r="F65" s="94"/>
    </row>
    <row r="66" spans="1:6" s="6" customFormat="1" ht="24.95" customHeight="1" x14ac:dyDescent="0.2">
      <c r="A66" s="119">
        <v>42993</v>
      </c>
      <c r="B66" s="120">
        <v>45.6</v>
      </c>
      <c r="C66" s="52" t="s">
        <v>114</v>
      </c>
      <c r="D66" s="198" t="s">
        <v>139</v>
      </c>
      <c r="E66" s="94"/>
      <c r="F66" s="94"/>
    </row>
    <row r="67" spans="1:6" s="6" customFormat="1" ht="24.95" customHeight="1" x14ac:dyDescent="0.2">
      <c r="A67" s="69">
        <v>42995</v>
      </c>
      <c r="B67" s="86">
        <v>41.7</v>
      </c>
      <c r="C67" s="104" t="s">
        <v>116</v>
      </c>
      <c r="D67" s="199"/>
      <c r="E67" s="94"/>
      <c r="F67" s="94"/>
    </row>
    <row r="68" spans="1:6" s="6" customFormat="1" ht="24" customHeight="1" x14ac:dyDescent="0.2">
      <c r="A68" s="119">
        <v>42996</v>
      </c>
      <c r="B68" s="120">
        <v>40.200000000000003</v>
      </c>
      <c r="C68" s="52" t="s">
        <v>114</v>
      </c>
      <c r="D68" s="198" t="s">
        <v>229</v>
      </c>
      <c r="E68" s="93"/>
      <c r="F68" s="93"/>
    </row>
    <row r="69" spans="1:6" s="6" customFormat="1" ht="19.149999999999999" customHeight="1" x14ac:dyDescent="0.2">
      <c r="A69" s="69" t="s">
        <v>106</v>
      </c>
      <c r="B69" s="86">
        <f>296+99+178</f>
        <v>573</v>
      </c>
      <c r="C69" s="104" t="s">
        <v>126</v>
      </c>
      <c r="D69" s="199"/>
      <c r="E69" s="93"/>
      <c r="F69" s="93"/>
    </row>
    <row r="70" spans="1:6" s="6" customFormat="1" ht="20.65" customHeight="1" x14ac:dyDescent="0.2">
      <c r="A70" s="69">
        <v>42998</v>
      </c>
      <c r="B70" s="86">
        <v>70.400000000000006</v>
      </c>
      <c r="C70" s="104" t="s">
        <v>115</v>
      </c>
      <c r="D70" s="199"/>
      <c r="E70" s="93"/>
      <c r="F70" s="93"/>
    </row>
    <row r="71" spans="1:6" s="6" customFormat="1" ht="24.95" customHeight="1" x14ac:dyDescent="0.2">
      <c r="A71" s="69">
        <v>42998</v>
      </c>
      <c r="B71" s="86">
        <v>53.9</v>
      </c>
      <c r="C71" s="104" t="s">
        <v>116</v>
      </c>
      <c r="D71" s="199"/>
      <c r="E71" s="93"/>
      <c r="F71" s="93"/>
    </row>
    <row r="72" spans="1:6" s="6" customFormat="1" ht="30" customHeight="1" x14ac:dyDescent="0.2">
      <c r="A72" s="119">
        <v>43000</v>
      </c>
      <c r="B72" s="120">
        <v>41.1</v>
      </c>
      <c r="C72" s="52" t="s">
        <v>114</v>
      </c>
      <c r="D72" s="126" t="s">
        <v>139</v>
      </c>
      <c r="E72" s="94"/>
      <c r="F72" s="94"/>
    </row>
    <row r="73" spans="1:6" s="6" customFormat="1" ht="51.75" customHeight="1" x14ac:dyDescent="0.2">
      <c r="A73" s="119" t="s">
        <v>107</v>
      </c>
      <c r="B73" s="120">
        <f>429+99</f>
        <v>528</v>
      </c>
      <c r="C73" s="52" t="s">
        <v>126</v>
      </c>
      <c r="D73" s="198" t="s">
        <v>244</v>
      </c>
      <c r="E73" s="93"/>
      <c r="F73" s="93"/>
    </row>
    <row r="74" spans="1:6" s="6" customFormat="1" ht="51" customHeight="1" x14ac:dyDescent="0.2">
      <c r="A74" s="69">
        <v>43008</v>
      </c>
      <c r="B74" s="86">
        <v>71.599999999999994</v>
      </c>
      <c r="C74" s="104" t="s">
        <v>115</v>
      </c>
      <c r="D74" s="199"/>
      <c r="E74" s="93"/>
      <c r="F74" s="93"/>
    </row>
    <row r="75" spans="1:6" s="6" customFormat="1" ht="22.5" customHeight="1" x14ac:dyDescent="0.2">
      <c r="A75" s="119">
        <v>43008</v>
      </c>
      <c r="B75" s="120">
        <v>42.6</v>
      </c>
      <c r="C75" s="52" t="s">
        <v>114</v>
      </c>
      <c r="D75" s="198" t="s">
        <v>139</v>
      </c>
      <c r="F75" s="99"/>
    </row>
    <row r="76" spans="1:6" s="6" customFormat="1" ht="22.5" customHeight="1" x14ac:dyDescent="0.2">
      <c r="A76" s="69">
        <v>43009</v>
      </c>
      <c r="B76" s="86">
        <v>33.9</v>
      </c>
      <c r="C76" s="104" t="s">
        <v>116</v>
      </c>
      <c r="D76" s="199"/>
      <c r="F76" s="94"/>
    </row>
    <row r="77" spans="1:6" s="6" customFormat="1" ht="22.5" customHeight="1" x14ac:dyDescent="0.2">
      <c r="A77" s="119">
        <v>43014</v>
      </c>
      <c r="B77" s="120">
        <v>38.200000000000003</v>
      </c>
      <c r="C77" s="52" t="s">
        <v>114</v>
      </c>
      <c r="D77" s="198" t="s">
        <v>146</v>
      </c>
      <c r="E77" s="93"/>
      <c r="F77" s="93"/>
    </row>
    <row r="78" spans="1:6" s="6" customFormat="1" ht="22.5" customHeight="1" x14ac:dyDescent="0.2">
      <c r="A78" s="70" t="s">
        <v>147</v>
      </c>
      <c r="B78" s="86">
        <f>473+99</f>
        <v>572</v>
      </c>
      <c r="C78" s="104" t="s">
        <v>148</v>
      </c>
      <c r="D78" s="199"/>
      <c r="E78" s="94"/>
      <c r="F78" s="94"/>
    </row>
    <row r="79" spans="1:6" s="6" customFormat="1" ht="22.5" customHeight="1" x14ac:dyDescent="0.2">
      <c r="A79" s="69">
        <v>43014</v>
      </c>
      <c r="B79" s="86">
        <v>76.8</v>
      </c>
      <c r="C79" s="104" t="s">
        <v>117</v>
      </c>
      <c r="D79" s="199"/>
      <c r="E79" s="93"/>
      <c r="F79" s="93"/>
    </row>
    <row r="80" spans="1:6" s="6" customFormat="1" ht="22.5" customHeight="1" x14ac:dyDescent="0.2">
      <c r="A80" s="69">
        <v>43016</v>
      </c>
      <c r="B80" s="86">
        <v>73.8</v>
      </c>
      <c r="C80" s="104" t="s">
        <v>115</v>
      </c>
      <c r="D80" s="199"/>
      <c r="E80" s="93"/>
      <c r="F80" s="93"/>
    </row>
    <row r="81" spans="1:6" s="6" customFormat="1" ht="22.5" customHeight="1" x14ac:dyDescent="0.2">
      <c r="A81" s="69">
        <v>43016</v>
      </c>
      <c r="B81" s="86">
        <v>34.299999999999997</v>
      </c>
      <c r="C81" s="104" t="s">
        <v>116</v>
      </c>
      <c r="D81" s="199"/>
      <c r="E81" s="93"/>
      <c r="F81" s="93"/>
    </row>
    <row r="82" spans="1:6" s="6" customFormat="1" ht="22.5" customHeight="1" x14ac:dyDescent="0.2">
      <c r="A82" s="119">
        <v>43021</v>
      </c>
      <c r="B82" s="120">
        <v>40.799999999999997</v>
      </c>
      <c r="C82" s="52" t="s">
        <v>114</v>
      </c>
      <c r="D82" s="198" t="s">
        <v>149</v>
      </c>
      <c r="E82" s="93"/>
      <c r="F82" s="93"/>
    </row>
    <row r="83" spans="1:6" s="6" customFormat="1" ht="22.5" customHeight="1" x14ac:dyDescent="0.2">
      <c r="A83" s="70" t="s">
        <v>150</v>
      </c>
      <c r="B83" s="86">
        <f>404+59.4-59.4-404+498+99</f>
        <v>597</v>
      </c>
      <c r="C83" s="104" t="s">
        <v>148</v>
      </c>
      <c r="D83" s="199"/>
      <c r="E83" s="93"/>
      <c r="F83" s="93"/>
    </row>
    <row r="84" spans="1:6" s="6" customFormat="1" ht="22.5" customHeight="1" x14ac:dyDescent="0.2">
      <c r="A84" s="69">
        <v>43021</v>
      </c>
      <c r="B84" s="86">
        <v>76</v>
      </c>
      <c r="C84" s="104" t="s">
        <v>117</v>
      </c>
      <c r="D84" s="199"/>
      <c r="E84" s="93"/>
      <c r="F84" s="93"/>
    </row>
    <row r="85" spans="1:6" s="6" customFormat="1" ht="22.5" customHeight="1" x14ac:dyDescent="0.2">
      <c r="A85" s="69">
        <v>43023</v>
      </c>
      <c r="B85" s="86">
        <v>71.599999999999994</v>
      </c>
      <c r="C85" s="104" t="s">
        <v>115</v>
      </c>
      <c r="D85" s="199"/>
      <c r="E85" s="93"/>
      <c r="F85" s="93"/>
    </row>
    <row r="86" spans="1:6" s="6" customFormat="1" ht="22.5" customHeight="1" x14ac:dyDescent="0.2">
      <c r="A86" s="69">
        <v>43023</v>
      </c>
      <c r="B86" s="86">
        <v>35.6</v>
      </c>
      <c r="C86" s="104" t="s">
        <v>116</v>
      </c>
      <c r="D86" s="199"/>
      <c r="E86" s="93"/>
      <c r="F86" s="93"/>
    </row>
    <row r="87" spans="1:6" s="6" customFormat="1" ht="22.5" customHeight="1" x14ac:dyDescent="0.2">
      <c r="A87" s="119">
        <v>43027</v>
      </c>
      <c r="B87" s="120">
        <v>40.799999999999997</v>
      </c>
      <c r="C87" s="52" t="s">
        <v>114</v>
      </c>
      <c r="D87" s="198" t="s">
        <v>245</v>
      </c>
      <c r="E87" s="93"/>
      <c r="F87" s="93"/>
    </row>
    <row r="88" spans="1:6" s="6" customFormat="1" ht="22.5" customHeight="1" x14ac:dyDescent="0.2">
      <c r="A88" s="70" t="s">
        <v>151</v>
      </c>
      <c r="B88" s="86">
        <f>334+99</f>
        <v>433</v>
      </c>
      <c r="C88" s="104" t="s">
        <v>148</v>
      </c>
      <c r="D88" s="199"/>
      <c r="E88" s="93"/>
      <c r="F88" s="93"/>
    </row>
    <row r="89" spans="1:6" s="6" customFormat="1" ht="22.5" customHeight="1" x14ac:dyDescent="0.2">
      <c r="A89" s="69">
        <v>43027</v>
      </c>
      <c r="B89" s="86">
        <v>65</v>
      </c>
      <c r="C89" s="104" t="s">
        <v>117</v>
      </c>
      <c r="D89" s="199"/>
      <c r="E89" s="93"/>
      <c r="F89" s="93"/>
    </row>
    <row r="90" spans="1:6" s="6" customFormat="1" ht="22.5" customHeight="1" x14ac:dyDescent="0.2">
      <c r="A90" s="119">
        <v>43028</v>
      </c>
      <c r="B90" s="120">
        <v>81.2</v>
      </c>
      <c r="C90" s="52" t="s">
        <v>115</v>
      </c>
      <c r="D90" s="198" t="s">
        <v>283</v>
      </c>
      <c r="E90" s="93"/>
      <c r="F90" s="93"/>
    </row>
    <row r="91" spans="1:6" s="6" customFormat="1" ht="22.5" customHeight="1" x14ac:dyDescent="0.2">
      <c r="A91" s="69">
        <v>43028</v>
      </c>
      <c r="B91" s="86">
        <f>592+49.5</f>
        <v>641.5</v>
      </c>
      <c r="C91" s="104" t="s">
        <v>152</v>
      </c>
      <c r="D91" s="199"/>
      <c r="E91" s="93"/>
      <c r="F91" s="93"/>
    </row>
    <row r="92" spans="1:6" s="6" customFormat="1" ht="30" customHeight="1" x14ac:dyDescent="0.2">
      <c r="A92" s="119">
        <v>43031</v>
      </c>
      <c r="B92" s="120">
        <v>72.599999999999994</v>
      </c>
      <c r="C92" s="52" t="s">
        <v>186</v>
      </c>
      <c r="D92" s="126" t="s">
        <v>275</v>
      </c>
      <c r="E92" s="93"/>
      <c r="F92" s="93"/>
    </row>
    <row r="93" spans="1:6" s="6" customFormat="1" ht="22.5" customHeight="1" x14ac:dyDescent="0.2">
      <c r="A93" s="119">
        <v>43033</v>
      </c>
      <c r="B93" s="120">
        <v>35.799999999999997</v>
      </c>
      <c r="C93" s="52" t="s">
        <v>114</v>
      </c>
      <c r="D93" s="198" t="s">
        <v>284</v>
      </c>
      <c r="E93" s="93"/>
      <c r="F93" s="93"/>
    </row>
    <row r="94" spans="1:6" s="6" customFormat="1" ht="30" customHeight="1" x14ac:dyDescent="0.2">
      <c r="A94" s="69">
        <v>43033</v>
      </c>
      <c r="B94" s="86">
        <f>479+49.5+50</f>
        <v>578.5</v>
      </c>
      <c r="C94" s="104" t="s">
        <v>155</v>
      </c>
      <c r="D94" s="199"/>
      <c r="E94" s="93"/>
      <c r="F94" s="93"/>
    </row>
    <row r="95" spans="1:6" s="6" customFormat="1" ht="30" customHeight="1" x14ac:dyDescent="0.2">
      <c r="A95" s="69">
        <v>43033</v>
      </c>
      <c r="B95" s="86">
        <v>63.7</v>
      </c>
      <c r="C95" s="104" t="s">
        <v>156</v>
      </c>
      <c r="D95" s="199"/>
      <c r="E95" s="95"/>
      <c r="F95" s="95"/>
    </row>
    <row r="96" spans="1:6" s="6" customFormat="1" ht="22.5" customHeight="1" x14ac:dyDescent="0.2">
      <c r="A96" s="69">
        <v>43034</v>
      </c>
      <c r="B96" s="86">
        <v>76.2</v>
      </c>
      <c r="C96" s="104" t="s">
        <v>246</v>
      </c>
      <c r="D96" s="199"/>
      <c r="E96" s="93"/>
      <c r="F96" s="93"/>
    </row>
    <row r="97" spans="1:6" s="6" customFormat="1" ht="22.5" customHeight="1" x14ac:dyDescent="0.2">
      <c r="A97" s="69">
        <v>43035</v>
      </c>
      <c r="B97" s="86">
        <v>72.599999999999994</v>
      </c>
      <c r="C97" s="104" t="s">
        <v>115</v>
      </c>
      <c r="D97" s="199"/>
      <c r="E97" s="93"/>
      <c r="F97" s="93"/>
    </row>
    <row r="98" spans="1:6" s="6" customFormat="1" ht="22.5" customHeight="1" x14ac:dyDescent="0.2">
      <c r="A98" s="69">
        <v>43035</v>
      </c>
      <c r="B98" s="86">
        <f>196+99-68-49.5+10</f>
        <v>187.5</v>
      </c>
      <c r="C98" s="104" t="s">
        <v>157</v>
      </c>
      <c r="D98" s="199"/>
      <c r="E98" s="93"/>
      <c r="F98" s="93"/>
    </row>
    <row r="99" spans="1:6" s="6" customFormat="1" ht="22.5" customHeight="1" x14ac:dyDescent="0.2">
      <c r="A99" s="69">
        <v>43035</v>
      </c>
      <c r="B99" s="86">
        <v>54.6</v>
      </c>
      <c r="C99" s="104" t="s">
        <v>116</v>
      </c>
      <c r="D99" s="199"/>
      <c r="E99" s="93"/>
      <c r="F99" s="93"/>
    </row>
    <row r="100" spans="1:6" s="6" customFormat="1" ht="22.5" customHeight="1" x14ac:dyDescent="0.2">
      <c r="A100" s="119">
        <v>43035</v>
      </c>
      <c r="B100" s="127">
        <v>40.9</v>
      </c>
      <c r="C100" s="52" t="s">
        <v>114</v>
      </c>
      <c r="D100" s="198" t="s">
        <v>139</v>
      </c>
      <c r="E100" s="95"/>
      <c r="F100" s="95"/>
    </row>
    <row r="101" spans="1:6" s="6" customFormat="1" ht="22.5" customHeight="1" x14ac:dyDescent="0.2">
      <c r="A101" s="69">
        <v>43045</v>
      </c>
      <c r="B101" s="86">
        <f>72.4</f>
        <v>72.400000000000006</v>
      </c>
      <c r="C101" s="104" t="s">
        <v>117</v>
      </c>
      <c r="D101" s="199"/>
      <c r="E101" s="95"/>
      <c r="F101" s="95"/>
    </row>
    <row r="102" spans="1:6" s="6" customFormat="1" ht="22.5" customHeight="1" x14ac:dyDescent="0.2">
      <c r="A102" s="69">
        <v>43045</v>
      </c>
      <c r="B102" s="86">
        <f>296+49.5+30</f>
        <v>375.5</v>
      </c>
      <c r="C102" s="104" t="s">
        <v>157</v>
      </c>
      <c r="D102" s="199"/>
      <c r="E102" s="94"/>
      <c r="F102" s="94"/>
    </row>
    <row r="103" spans="1:6" s="6" customFormat="1" ht="22.5" customHeight="1" x14ac:dyDescent="0.2">
      <c r="A103" s="69">
        <v>43045</v>
      </c>
      <c r="B103" s="86">
        <f>57</f>
        <v>57</v>
      </c>
      <c r="C103" s="104" t="s">
        <v>116</v>
      </c>
      <c r="D103" s="199"/>
      <c r="E103" s="95"/>
      <c r="F103" s="95"/>
    </row>
    <row r="104" spans="1:6" s="6" customFormat="1" ht="22.5" customHeight="1" x14ac:dyDescent="0.2">
      <c r="A104" s="119">
        <v>43052</v>
      </c>
      <c r="B104" s="120">
        <f>44.5</f>
        <v>44.5</v>
      </c>
      <c r="C104" s="52" t="s">
        <v>114</v>
      </c>
      <c r="D104" s="198" t="s">
        <v>247</v>
      </c>
      <c r="E104" s="95"/>
      <c r="F104" s="95"/>
    </row>
    <row r="105" spans="1:6" s="6" customFormat="1" ht="22.5" customHeight="1" x14ac:dyDescent="0.2">
      <c r="A105" s="69" t="s">
        <v>159</v>
      </c>
      <c r="B105" s="86">
        <f>119+177+49.5+266+49.5</f>
        <v>661</v>
      </c>
      <c r="C105" s="104" t="s">
        <v>160</v>
      </c>
      <c r="D105" s="199"/>
      <c r="E105" s="94"/>
      <c r="F105" s="94"/>
    </row>
    <row r="106" spans="1:6" s="6" customFormat="1" ht="22.9" customHeight="1" x14ac:dyDescent="0.2">
      <c r="A106" s="69">
        <v>43052</v>
      </c>
      <c r="B106" s="86">
        <f>77.6</f>
        <v>77.599999999999994</v>
      </c>
      <c r="C106" s="104" t="s">
        <v>117</v>
      </c>
      <c r="D106" s="199"/>
      <c r="E106" s="95"/>
      <c r="F106" s="95"/>
    </row>
    <row r="107" spans="1:6" s="6" customFormat="1" ht="30" customHeight="1" x14ac:dyDescent="0.2">
      <c r="A107" s="119">
        <v>43053</v>
      </c>
      <c r="B107" s="120">
        <f>76.2</f>
        <v>76.2</v>
      </c>
      <c r="C107" s="52" t="s">
        <v>161</v>
      </c>
      <c r="D107" s="128" t="s">
        <v>248</v>
      </c>
      <c r="E107" s="95"/>
      <c r="F107" s="95"/>
    </row>
    <row r="108" spans="1:6" s="6" customFormat="1" ht="30" customHeight="1" x14ac:dyDescent="0.2">
      <c r="A108" s="119">
        <v>43058</v>
      </c>
      <c r="B108" s="120">
        <f>35.3</f>
        <v>35.299999999999997</v>
      </c>
      <c r="C108" s="52" t="s">
        <v>116</v>
      </c>
      <c r="D108" s="128" t="s">
        <v>139</v>
      </c>
      <c r="E108" s="95"/>
      <c r="F108" s="95"/>
    </row>
    <row r="109" spans="1:6" s="6" customFormat="1" ht="22.5" customHeight="1" x14ac:dyDescent="0.2">
      <c r="A109" s="119">
        <v>43068</v>
      </c>
      <c r="B109" s="120">
        <f>23.55</f>
        <v>23.55</v>
      </c>
      <c r="C109" s="52" t="s">
        <v>168</v>
      </c>
      <c r="D109" s="198" t="s">
        <v>276</v>
      </c>
      <c r="E109" s="95"/>
      <c r="F109" s="95"/>
    </row>
    <row r="110" spans="1:6" s="6" customFormat="1" ht="22.5" customHeight="1" x14ac:dyDescent="0.2">
      <c r="A110" s="70" t="s">
        <v>163</v>
      </c>
      <c r="B110" s="86">
        <f>468+99+60</f>
        <v>627</v>
      </c>
      <c r="C110" s="104" t="s">
        <v>148</v>
      </c>
      <c r="D110" s="199"/>
      <c r="E110" s="94"/>
      <c r="F110" s="94"/>
    </row>
    <row r="111" spans="1:6" s="6" customFormat="1" ht="22.5" customHeight="1" x14ac:dyDescent="0.2">
      <c r="A111" s="69">
        <v>43068</v>
      </c>
      <c r="B111" s="86">
        <v>34.799999999999997</v>
      </c>
      <c r="C111" s="104" t="s">
        <v>117</v>
      </c>
      <c r="D111" s="199"/>
      <c r="E111" s="95"/>
      <c r="F111" s="95"/>
    </row>
    <row r="112" spans="1:6" s="6" customFormat="1" ht="22.5" customHeight="1" x14ac:dyDescent="0.2">
      <c r="A112" s="69">
        <v>43069</v>
      </c>
      <c r="B112" s="86">
        <f>12</f>
        <v>12</v>
      </c>
      <c r="C112" s="104" t="s">
        <v>162</v>
      </c>
      <c r="D112" s="199"/>
      <c r="E112" s="95"/>
      <c r="F112" s="95"/>
    </row>
    <row r="113" spans="1:11" s="6" customFormat="1" ht="22.5" customHeight="1" x14ac:dyDescent="0.2">
      <c r="A113" s="69">
        <v>43072</v>
      </c>
      <c r="B113" s="86">
        <f>71.8</f>
        <v>71.8</v>
      </c>
      <c r="C113" s="104" t="s">
        <v>115</v>
      </c>
      <c r="D113" s="199"/>
      <c r="E113" s="95"/>
      <c r="F113" s="95"/>
    </row>
    <row r="114" spans="1:11" s="6" customFormat="1" ht="22.5" customHeight="1" x14ac:dyDescent="0.2">
      <c r="A114" s="69">
        <v>43072</v>
      </c>
      <c r="B114" s="86">
        <f>37.1</f>
        <v>37.1</v>
      </c>
      <c r="C114" s="104" t="s">
        <v>116</v>
      </c>
      <c r="D114" s="199"/>
      <c r="E114" s="95"/>
      <c r="F114" s="95"/>
    </row>
    <row r="115" spans="1:11" s="6" customFormat="1" ht="22.5" customHeight="1" x14ac:dyDescent="0.2">
      <c r="A115" s="119">
        <v>43118</v>
      </c>
      <c r="B115" s="120">
        <f>47.1</f>
        <v>47.1</v>
      </c>
      <c r="C115" s="52" t="s">
        <v>114</v>
      </c>
      <c r="D115" s="198" t="s">
        <v>276</v>
      </c>
      <c r="E115" s="95"/>
      <c r="F115" s="95"/>
    </row>
    <row r="116" spans="1:11" s="6" customFormat="1" ht="22.5" customHeight="1" x14ac:dyDescent="0.2">
      <c r="A116" s="69">
        <v>43118</v>
      </c>
      <c r="B116" s="86">
        <f>76</f>
        <v>76</v>
      </c>
      <c r="C116" s="104" t="s">
        <v>187</v>
      </c>
      <c r="D116" s="199"/>
      <c r="E116" s="94"/>
      <c r="F116" s="94"/>
    </row>
    <row r="117" spans="1:11" s="6" customFormat="1" ht="22.5" customHeight="1" x14ac:dyDescent="0.2">
      <c r="A117" s="69">
        <v>43118</v>
      </c>
      <c r="B117" s="86">
        <f>78.6</f>
        <v>78.599999999999994</v>
      </c>
      <c r="C117" s="104" t="s">
        <v>117</v>
      </c>
      <c r="D117" s="199"/>
      <c r="E117" s="95"/>
      <c r="F117" s="95"/>
    </row>
    <row r="118" spans="1:11" s="6" customFormat="1" ht="22.5" customHeight="1" x14ac:dyDescent="0.2">
      <c r="A118" s="69">
        <v>43125</v>
      </c>
      <c r="B118" s="86">
        <f>38</f>
        <v>38</v>
      </c>
      <c r="C118" s="104" t="s">
        <v>114</v>
      </c>
      <c r="D118" s="199"/>
      <c r="E118" s="95"/>
      <c r="F118" s="95"/>
    </row>
    <row r="119" spans="1:11" s="6" customFormat="1" ht="22.5" customHeight="1" x14ac:dyDescent="0.2">
      <c r="A119" s="70" t="s">
        <v>188</v>
      </c>
      <c r="B119" s="86">
        <f>545+99</f>
        <v>644</v>
      </c>
      <c r="C119" s="104" t="s">
        <v>148</v>
      </c>
      <c r="D119" s="199"/>
      <c r="E119" s="94"/>
      <c r="F119" s="94"/>
    </row>
    <row r="120" spans="1:11" s="6" customFormat="1" ht="22.5" customHeight="1" x14ac:dyDescent="0.2">
      <c r="A120" s="69">
        <v>43131</v>
      </c>
      <c r="B120" s="86">
        <v>14</v>
      </c>
      <c r="C120" s="104" t="s">
        <v>162</v>
      </c>
      <c r="D120" s="199"/>
      <c r="E120" s="95"/>
      <c r="F120" s="95"/>
    </row>
    <row r="121" spans="1:11" s="6" customFormat="1" ht="22.5" customHeight="1" x14ac:dyDescent="0.2">
      <c r="A121" s="69">
        <v>43131</v>
      </c>
      <c r="B121" s="86">
        <v>18.45</v>
      </c>
      <c r="C121" s="104" t="s">
        <v>162</v>
      </c>
      <c r="D121" s="199"/>
      <c r="E121" s="95"/>
      <c r="F121" s="95"/>
    </row>
    <row r="122" spans="1:11" s="6" customFormat="1" ht="22.5" customHeight="1" x14ac:dyDescent="0.2">
      <c r="A122" s="69">
        <v>43132</v>
      </c>
      <c r="B122" s="86">
        <v>24</v>
      </c>
      <c r="C122" s="104" t="s">
        <v>162</v>
      </c>
      <c r="D122" s="199"/>
      <c r="E122" s="95"/>
      <c r="F122" s="95"/>
    </row>
    <row r="123" spans="1:11" s="6" customFormat="1" ht="22.5" customHeight="1" x14ac:dyDescent="0.2">
      <c r="A123" s="125" t="s">
        <v>189</v>
      </c>
      <c r="B123" s="120">
        <v>97</v>
      </c>
      <c r="C123" s="52" t="s">
        <v>190</v>
      </c>
      <c r="D123" s="198" t="s">
        <v>277</v>
      </c>
      <c r="E123" s="94"/>
      <c r="F123" s="94"/>
    </row>
    <row r="124" spans="1:11" s="6" customFormat="1" ht="30" customHeight="1" x14ac:dyDescent="0.2">
      <c r="A124" s="69" t="s">
        <v>189</v>
      </c>
      <c r="B124" s="86">
        <f>443+10+99+113</f>
        <v>665</v>
      </c>
      <c r="C124" s="104" t="s">
        <v>191</v>
      </c>
      <c r="D124" s="199"/>
      <c r="E124" s="94"/>
      <c r="F124" s="94"/>
      <c r="K124" s="94"/>
    </row>
    <row r="125" spans="1:11" s="6" customFormat="1" ht="24.75" customHeight="1" x14ac:dyDescent="0.2">
      <c r="A125" s="69">
        <v>43135</v>
      </c>
      <c r="B125" s="86">
        <v>60</v>
      </c>
      <c r="C125" s="104" t="s">
        <v>249</v>
      </c>
      <c r="D125" s="199"/>
      <c r="E125" s="94"/>
      <c r="F125" s="94"/>
    </row>
    <row r="126" spans="1:11" s="6" customFormat="1" ht="22.5" customHeight="1" x14ac:dyDescent="0.2">
      <c r="A126" s="69" t="s">
        <v>192</v>
      </c>
      <c r="B126" s="86">
        <f>519</f>
        <v>519</v>
      </c>
      <c r="C126" s="104" t="s">
        <v>145</v>
      </c>
      <c r="D126" s="199"/>
      <c r="E126" s="94"/>
      <c r="F126" s="94"/>
    </row>
    <row r="127" spans="1:11" s="6" customFormat="1" ht="22.5" customHeight="1" x14ac:dyDescent="0.2">
      <c r="A127" s="69">
        <v>43135</v>
      </c>
      <c r="B127" s="86">
        <f>28.5</f>
        <v>28.5</v>
      </c>
      <c r="C127" s="104" t="s">
        <v>193</v>
      </c>
      <c r="D127" s="199"/>
      <c r="E127" s="94"/>
      <c r="F127" s="94"/>
    </row>
    <row r="128" spans="1:11" s="6" customFormat="1" ht="22.5" customHeight="1" x14ac:dyDescent="0.2">
      <c r="A128" s="69" t="s">
        <v>194</v>
      </c>
      <c r="B128" s="86">
        <f>15</f>
        <v>15</v>
      </c>
      <c r="C128" s="104" t="s">
        <v>127</v>
      </c>
      <c r="D128" s="199"/>
      <c r="E128" s="94"/>
      <c r="F128" s="94"/>
    </row>
    <row r="129" spans="1:11" s="6" customFormat="1" ht="22.5" customHeight="1" x14ac:dyDescent="0.2">
      <c r="A129" s="69">
        <v>43138</v>
      </c>
      <c r="B129" s="86">
        <f>73.6</f>
        <v>73.599999999999994</v>
      </c>
      <c r="C129" s="104" t="s">
        <v>115</v>
      </c>
      <c r="D129" s="199"/>
      <c r="E129" s="98"/>
      <c r="F129" s="98"/>
    </row>
    <row r="130" spans="1:11" s="6" customFormat="1" ht="22.5" customHeight="1" x14ac:dyDescent="0.2">
      <c r="A130" s="119">
        <v>43143</v>
      </c>
      <c r="B130" s="120">
        <f>43</f>
        <v>43</v>
      </c>
      <c r="C130" s="52" t="s">
        <v>114</v>
      </c>
      <c r="D130" s="198" t="s">
        <v>250</v>
      </c>
      <c r="E130" s="98"/>
      <c r="F130" s="98"/>
    </row>
    <row r="131" spans="1:11" s="6" customFormat="1" ht="22.5" customHeight="1" x14ac:dyDescent="0.2">
      <c r="A131" s="70" t="s">
        <v>195</v>
      </c>
      <c r="B131" s="86">
        <f>443+99</f>
        <v>542</v>
      </c>
      <c r="C131" s="104" t="s">
        <v>148</v>
      </c>
      <c r="D131" s="199"/>
      <c r="E131" s="94"/>
      <c r="F131" s="94"/>
    </row>
    <row r="132" spans="1:11" s="6" customFormat="1" ht="22.5" customHeight="1" x14ac:dyDescent="0.2">
      <c r="A132" s="69">
        <v>43144</v>
      </c>
      <c r="B132" s="86">
        <v>29.54</v>
      </c>
      <c r="C132" s="104" t="s">
        <v>251</v>
      </c>
      <c r="D132" s="199"/>
      <c r="E132" s="98"/>
      <c r="F132" s="98"/>
    </row>
    <row r="133" spans="1:11" s="6" customFormat="1" ht="22.5" customHeight="1" x14ac:dyDescent="0.2">
      <c r="A133" s="69">
        <v>43144</v>
      </c>
      <c r="B133" s="86">
        <f>77</f>
        <v>77</v>
      </c>
      <c r="C133" s="104" t="s">
        <v>115</v>
      </c>
      <c r="D133" s="199"/>
      <c r="E133" s="98"/>
      <c r="F133" s="98"/>
    </row>
    <row r="134" spans="1:11" s="6" customFormat="1" ht="22.5" customHeight="1" x14ac:dyDescent="0.2">
      <c r="A134" s="69">
        <v>43144</v>
      </c>
      <c r="B134" s="86">
        <f>41.5</f>
        <v>41.5</v>
      </c>
      <c r="C134" s="104" t="s">
        <v>116</v>
      </c>
      <c r="D134" s="199"/>
      <c r="E134" s="98"/>
      <c r="F134" s="98"/>
    </row>
    <row r="135" spans="1:11" s="6" customFormat="1" ht="22.5" customHeight="1" x14ac:dyDescent="0.2">
      <c r="A135" s="125" t="s">
        <v>196</v>
      </c>
      <c r="B135" s="120">
        <f>343+99</f>
        <v>442</v>
      </c>
      <c r="C135" s="52" t="s">
        <v>148</v>
      </c>
      <c r="D135" s="198" t="s">
        <v>231</v>
      </c>
      <c r="E135" s="94"/>
      <c r="F135" s="94"/>
    </row>
    <row r="136" spans="1:11" s="6" customFormat="1" ht="22.5" customHeight="1" x14ac:dyDescent="0.2">
      <c r="A136" s="69">
        <v>43154</v>
      </c>
      <c r="B136" s="86">
        <f>50</f>
        <v>50</v>
      </c>
      <c r="C136" s="104" t="s">
        <v>198</v>
      </c>
      <c r="D136" s="199"/>
      <c r="E136" s="98"/>
      <c r="F136" s="98"/>
    </row>
    <row r="137" spans="1:11" s="6" customFormat="1" ht="22.5" customHeight="1" x14ac:dyDescent="0.2">
      <c r="A137" s="69">
        <v>43157</v>
      </c>
      <c r="B137" s="86">
        <f>105.6</f>
        <v>105.6</v>
      </c>
      <c r="C137" s="104" t="s">
        <v>252</v>
      </c>
      <c r="D137" s="199"/>
      <c r="E137" s="98"/>
      <c r="F137" s="98"/>
    </row>
    <row r="138" spans="1:11" s="6" customFormat="1" ht="30" customHeight="1" x14ac:dyDescent="0.2">
      <c r="A138" s="69">
        <v>43157</v>
      </c>
      <c r="B138" s="86">
        <f>42.1</f>
        <v>42.1</v>
      </c>
      <c r="C138" s="104" t="s">
        <v>253</v>
      </c>
      <c r="D138" s="199"/>
      <c r="E138" s="98"/>
      <c r="F138" s="98"/>
    </row>
    <row r="139" spans="1:11" s="6" customFormat="1" ht="22.5" customHeight="1" x14ac:dyDescent="0.2">
      <c r="A139" s="69">
        <v>43157</v>
      </c>
      <c r="B139" s="86">
        <f>43.6</f>
        <v>43.6</v>
      </c>
      <c r="C139" s="104" t="s">
        <v>116</v>
      </c>
      <c r="D139" s="199"/>
      <c r="E139" s="98"/>
      <c r="F139" s="98"/>
    </row>
    <row r="140" spans="1:11" s="6" customFormat="1" ht="22.5" customHeight="1" x14ac:dyDescent="0.2">
      <c r="A140" s="119">
        <v>43159</v>
      </c>
      <c r="B140" s="120">
        <f>51.4</f>
        <v>51.4</v>
      </c>
      <c r="C140" s="52" t="s">
        <v>114</v>
      </c>
      <c r="D140" s="198" t="s">
        <v>254</v>
      </c>
      <c r="E140" s="94"/>
      <c r="F140" s="94"/>
    </row>
    <row r="141" spans="1:11" s="6" customFormat="1" ht="22.5" customHeight="1" x14ac:dyDescent="0.2">
      <c r="A141" s="69">
        <v>43159</v>
      </c>
      <c r="B141" s="86">
        <f>305+49.5+65+10+4.95</f>
        <v>434.45</v>
      </c>
      <c r="C141" s="104" t="s">
        <v>197</v>
      </c>
      <c r="D141" s="199"/>
      <c r="E141" s="94"/>
      <c r="F141" s="94"/>
    </row>
    <row r="142" spans="1:11" s="6" customFormat="1" ht="22.5" customHeight="1" x14ac:dyDescent="0.2">
      <c r="A142" s="69">
        <v>43159</v>
      </c>
      <c r="B142" s="86">
        <f>28.6</f>
        <v>28.6</v>
      </c>
      <c r="C142" s="104" t="s">
        <v>198</v>
      </c>
      <c r="D142" s="199"/>
      <c r="E142" s="98"/>
      <c r="F142" s="98"/>
    </row>
    <row r="143" spans="1:11" s="6" customFormat="1" ht="22.5" customHeight="1" x14ac:dyDescent="0.2">
      <c r="A143" s="125" t="s">
        <v>199</v>
      </c>
      <c r="B143" s="120">
        <f>297+99+25+4.95</f>
        <v>425.95</v>
      </c>
      <c r="C143" s="52" t="s">
        <v>200</v>
      </c>
      <c r="D143" s="198" t="s">
        <v>255</v>
      </c>
      <c r="E143" s="94"/>
      <c r="F143" s="94"/>
      <c r="K143" s="94"/>
    </row>
    <row r="144" spans="1:11" s="6" customFormat="1" ht="22.5" customHeight="1" x14ac:dyDescent="0.2">
      <c r="A144" s="69">
        <v>43174</v>
      </c>
      <c r="B144" s="86">
        <f>39.6</f>
        <v>39.6</v>
      </c>
      <c r="C144" s="104" t="s">
        <v>114</v>
      </c>
      <c r="D144" s="199"/>
      <c r="E144" s="98"/>
      <c r="F144" s="98"/>
    </row>
    <row r="145" spans="1:6" s="6" customFormat="1" ht="22.5" customHeight="1" x14ac:dyDescent="0.2">
      <c r="A145" s="69">
        <v>43174</v>
      </c>
      <c r="B145" s="86">
        <f>79.6</f>
        <v>79.599999999999994</v>
      </c>
      <c r="C145" s="104" t="s">
        <v>117</v>
      </c>
      <c r="D145" s="199"/>
      <c r="E145" s="98"/>
      <c r="F145" s="98"/>
    </row>
    <row r="146" spans="1:6" s="6" customFormat="1" ht="22.5" customHeight="1" x14ac:dyDescent="0.2">
      <c r="A146" s="69">
        <v>43178</v>
      </c>
      <c r="B146" s="86">
        <f>73.4</f>
        <v>73.400000000000006</v>
      </c>
      <c r="C146" s="104" t="s">
        <v>115</v>
      </c>
      <c r="D146" s="199"/>
      <c r="E146" s="98"/>
      <c r="F146" s="98"/>
    </row>
    <row r="147" spans="1:6" s="6" customFormat="1" ht="22.5" customHeight="1" x14ac:dyDescent="0.2">
      <c r="A147" s="119">
        <v>43181</v>
      </c>
      <c r="B147" s="120">
        <f>24.58</f>
        <v>24.58</v>
      </c>
      <c r="C147" s="52" t="s">
        <v>114</v>
      </c>
      <c r="D147" s="198" t="s">
        <v>232</v>
      </c>
      <c r="E147" s="98"/>
      <c r="F147" s="98"/>
    </row>
    <row r="148" spans="1:6" s="6" customFormat="1" ht="22.5" customHeight="1" x14ac:dyDescent="0.2">
      <c r="A148" s="70" t="s">
        <v>201</v>
      </c>
      <c r="B148" s="86">
        <f>61+10+580+108.9</f>
        <v>759.9</v>
      </c>
      <c r="C148" s="104" t="s">
        <v>148</v>
      </c>
      <c r="D148" s="199"/>
      <c r="E148" s="94"/>
      <c r="F148" s="94"/>
    </row>
    <row r="149" spans="1:6" s="6" customFormat="1" ht="22.5" customHeight="1" x14ac:dyDescent="0.2">
      <c r="A149" s="69">
        <v>43185</v>
      </c>
      <c r="B149" s="86">
        <f>74.2</f>
        <v>74.2</v>
      </c>
      <c r="C149" s="104" t="s">
        <v>115</v>
      </c>
      <c r="D149" s="199"/>
      <c r="E149" s="98"/>
      <c r="F149" s="98"/>
    </row>
    <row r="150" spans="1:6" s="6" customFormat="1" ht="22.5" customHeight="1" x14ac:dyDescent="0.2">
      <c r="A150" s="69">
        <v>43185</v>
      </c>
      <c r="B150" s="86">
        <f>48.4</f>
        <v>48.4</v>
      </c>
      <c r="C150" s="104" t="s">
        <v>116</v>
      </c>
      <c r="D150" s="199"/>
      <c r="E150" s="98"/>
      <c r="F150" s="98"/>
    </row>
    <row r="151" spans="1:6" s="6" customFormat="1" ht="27.75" customHeight="1" x14ac:dyDescent="0.2">
      <c r="A151" s="119">
        <v>43187</v>
      </c>
      <c r="B151" s="120">
        <f>191+99+297+4.95</f>
        <v>591.95000000000005</v>
      </c>
      <c r="C151" s="52" t="s">
        <v>200</v>
      </c>
      <c r="D151" s="198" t="s">
        <v>256</v>
      </c>
      <c r="E151" s="94"/>
      <c r="F151" s="94"/>
    </row>
    <row r="152" spans="1:6" s="6" customFormat="1" ht="20.65" customHeight="1" x14ac:dyDescent="0.2">
      <c r="A152" s="69">
        <v>43187</v>
      </c>
      <c r="B152" s="86">
        <v>36.43</v>
      </c>
      <c r="C152" s="104" t="s">
        <v>114</v>
      </c>
      <c r="D152" s="199"/>
      <c r="E152" s="98"/>
      <c r="F152" s="98"/>
    </row>
    <row r="153" spans="1:6" s="6" customFormat="1" ht="24.75" customHeight="1" x14ac:dyDescent="0.2">
      <c r="A153" s="119">
        <v>43193</v>
      </c>
      <c r="B153" s="120">
        <v>82</v>
      </c>
      <c r="C153" s="52" t="s">
        <v>115</v>
      </c>
      <c r="D153" s="198" t="s">
        <v>158</v>
      </c>
      <c r="E153" s="98"/>
      <c r="F153" s="98"/>
    </row>
    <row r="154" spans="1:6" s="6" customFormat="1" ht="24.75" customHeight="1" x14ac:dyDescent="0.2">
      <c r="A154" s="69">
        <v>43193</v>
      </c>
      <c r="B154" s="86">
        <v>258.5</v>
      </c>
      <c r="C154" s="104" t="s">
        <v>208</v>
      </c>
      <c r="D154" s="199"/>
      <c r="E154" s="94"/>
      <c r="F154" s="94"/>
    </row>
    <row r="155" spans="1:6" s="6" customFormat="1" ht="22.5" customHeight="1" x14ac:dyDescent="0.2">
      <c r="A155" s="119">
        <v>43193</v>
      </c>
      <c r="B155" s="120">
        <v>43</v>
      </c>
      <c r="C155" s="52" t="s">
        <v>116</v>
      </c>
      <c r="D155" s="198" t="s">
        <v>257</v>
      </c>
      <c r="E155" s="98"/>
      <c r="F155" s="98"/>
    </row>
    <row r="156" spans="1:6" s="6" customFormat="1" ht="22.5" customHeight="1" x14ac:dyDescent="0.2">
      <c r="A156" s="69">
        <v>43203</v>
      </c>
      <c r="B156" s="86">
        <v>35.799999999999997</v>
      </c>
      <c r="C156" s="104" t="s">
        <v>114</v>
      </c>
      <c r="D156" s="199"/>
      <c r="E156" s="98"/>
      <c r="F156" s="98"/>
    </row>
    <row r="157" spans="1:6" s="6" customFormat="1" ht="22.5" customHeight="1" x14ac:dyDescent="0.2">
      <c r="A157" s="69">
        <v>43203</v>
      </c>
      <c r="B157" s="86">
        <v>719.9</v>
      </c>
      <c r="C157" s="104" t="s">
        <v>148</v>
      </c>
      <c r="D157" s="199"/>
      <c r="E157" s="94"/>
      <c r="F157" s="94"/>
    </row>
    <row r="158" spans="1:6" s="6" customFormat="1" ht="22.5" customHeight="1" x14ac:dyDescent="0.2">
      <c r="A158" s="119">
        <v>43203</v>
      </c>
      <c r="B158" s="120">
        <v>33</v>
      </c>
      <c r="C158" s="52" t="s">
        <v>117</v>
      </c>
      <c r="D158" s="126" t="s">
        <v>258</v>
      </c>
      <c r="E158" s="98"/>
      <c r="F158" s="98"/>
    </row>
    <row r="159" spans="1:6" s="6" customFormat="1" ht="23.25" customHeight="1" x14ac:dyDescent="0.2">
      <c r="A159" s="119">
        <v>43209</v>
      </c>
      <c r="B159" s="120">
        <v>25.19</v>
      </c>
      <c r="C159" s="52" t="s">
        <v>227</v>
      </c>
      <c r="D159" s="198" t="s">
        <v>259</v>
      </c>
      <c r="E159" s="98"/>
      <c r="F159" s="98"/>
    </row>
    <row r="160" spans="1:6" s="6" customFormat="1" ht="22.5" customHeight="1" x14ac:dyDescent="0.2">
      <c r="A160" s="70" t="s">
        <v>209</v>
      </c>
      <c r="B160" s="86">
        <v>678.9</v>
      </c>
      <c r="C160" s="104" t="s">
        <v>148</v>
      </c>
      <c r="D160" s="199"/>
      <c r="E160" s="94"/>
      <c r="F160" s="94"/>
    </row>
    <row r="161" spans="1:6" s="6" customFormat="1" ht="22.5" customHeight="1" x14ac:dyDescent="0.2">
      <c r="A161" s="69">
        <v>43209</v>
      </c>
      <c r="B161" s="86">
        <v>43.8</v>
      </c>
      <c r="C161" s="104" t="s">
        <v>117</v>
      </c>
      <c r="D161" s="199"/>
      <c r="E161" s="98"/>
      <c r="F161" s="98"/>
    </row>
    <row r="162" spans="1:6" s="6" customFormat="1" ht="30" customHeight="1" x14ac:dyDescent="0.2">
      <c r="A162" s="119">
        <v>43210</v>
      </c>
      <c r="B162" s="120">
        <v>16</v>
      </c>
      <c r="C162" s="52" t="s">
        <v>162</v>
      </c>
      <c r="D162" s="126" t="s">
        <v>139</v>
      </c>
      <c r="E162" s="98"/>
      <c r="F162" s="98"/>
    </row>
    <row r="163" spans="1:6" s="6" customFormat="1" ht="30" customHeight="1" x14ac:dyDescent="0.2">
      <c r="A163" s="119">
        <v>43214</v>
      </c>
      <c r="B163" s="120">
        <v>16</v>
      </c>
      <c r="C163" s="52" t="s">
        <v>162</v>
      </c>
      <c r="D163" s="126" t="s">
        <v>260</v>
      </c>
      <c r="E163" s="98"/>
      <c r="F163" s="98"/>
    </row>
    <row r="164" spans="1:6" s="6" customFormat="1" ht="22.5" customHeight="1" x14ac:dyDescent="0.2">
      <c r="A164" s="119">
        <v>43216</v>
      </c>
      <c r="B164" s="120">
        <v>45.6</v>
      </c>
      <c r="C164" s="52" t="s">
        <v>116</v>
      </c>
      <c r="D164" s="126" t="s">
        <v>158</v>
      </c>
      <c r="E164" s="98"/>
      <c r="F164" s="98"/>
    </row>
    <row r="165" spans="1:6" s="6" customFormat="1" ht="30" customHeight="1" x14ac:dyDescent="0.2">
      <c r="A165" s="119">
        <v>43216</v>
      </c>
      <c r="B165" s="120">
        <v>53</v>
      </c>
      <c r="C165" s="52" t="s">
        <v>190</v>
      </c>
      <c r="D165" s="126" t="s">
        <v>139</v>
      </c>
      <c r="E165" s="98"/>
      <c r="F165" s="98"/>
    </row>
    <row r="166" spans="1:6" s="6" customFormat="1" ht="30" customHeight="1" x14ac:dyDescent="0.2">
      <c r="A166" s="119">
        <v>43216</v>
      </c>
      <c r="B166" s="120">
        <v>42.8</v>
      </c>
      <c r="C166" s="52" t="s">
        <v>114</v>
      </c>
      <c r="D166" s="126" t="s">
        <v>139</v>
      </c>
      <c r="E166" s="98"/>
      <c r="F166" s="98"/>
    </row>
    <row r="167" spans="1:6" s="6" customFormat="1" ht="22.5" customHeight="1" x14ac:dyDescent="0.2">
      <c r="A167" s="119">
        <v>43221</v>
      </c>
      <c r="B167" s="120">
        <v>40.5</v>
      </c>
      <c r="C167" s="52" t="s">
        <v>114</v>
      </c>
      <c r="D167" s="198" t="s">
        <v>233</v>
      </c>
      <c r="E167" s="98"/>
      <c r="F167" s="98"/>
    </row>
    <row r="168" spans="1:6" s="6" customFormat="1" ht="22.5" customHeight="1" x14ac:dyDescent="0.2">
      <c r="A168" s="70" t="s">
        <v>210</v>
      </c>
      <c r="B168" s="86">
        <v>345</v>
      </c>
      <c r="C168" s="104" t="s">
        <v>211</v>
      </c>
      <c r="D168" s="199"/>
      <c r="E168" s="94"/>
      <c r="F168" s="94"/>
    </row>
    <row r="169" spans="1:6" s="6" customFormat="1" ht="22.5" customHeight="1" x14ac:dyDescent="0.2">
      <c r="A169" s="69">
        <v>43221</v>
      </c>
      <c r="B169" s="86">
        <v>315.79000000000002</v>
      </c>
      <c r="C169" s="104" t="s">
        <v>225</v>
      </c>
      <c r="D169" s="199"/>
      <c r="E169" s="98"/>
      <c r="F169" s="98"/>
    </row>
    <row r="170" spans="1:6" s="6" customFormat="1" ht="22.5" customHeight="1" x14ac:dyDescent="0.2">
      <c r="A170" s="69">
        <v>43221</v>
      </c>
      <c r="B170" s="86">
        <v>149</v>
      </c>
      <c r="C170" s="104" t="s">
        <v>145</v>
      </c>
      <c r="D170" s="199"/>
      <c r="E170" s="98"/>
      <c r="F170" s="98"/>
    </row>
    <row r="171" spans="1:6" s="6" customFormat="1" ht="22.5" customHeight="1" x14ac:dyDescent="0.2">
      <c r="A171" s="69">
        <v>43222</v>
      </c>
      <c r="B171" s="86">
        <v>42.5</v>
      </c>
      <c r="C171" s="104" t="s">
        <v>116</v>
      </c>
      <c r="D171" s="199"/>
      <c r="E171" s="98"/>
      <c r="F171" s="98"/>
    </row>
    <row r="172" spans="1:6" s="6" customFormat="1" ht="22.5" customHeight="1" x14ac:dyDescent="0.2">
      <c r="A172" s="119">
        <v>43222</v>
      </c>
      <c r="B172" s="120">
        <v>41.5</v>
      </c>
      <c r="C172" s="52" t="s">
        <v>114</v>
      </c>
      <c r="D172" s="198" t="s">
        <v>226</v>
      </c>
      <c r="E172" s="98"/>
      <c r="F172" s="98"/>
    </row>
    <row r="173" spans="1:6" s="6" customFormat="1" ht="22.5" customHeight="1" x14ac:dyDescent="0.2">
      <c r="A173" s="70" t="s">
        <v>213</v>
      </c>
      <c r="B173" s="86">
        <v>568.9</v>
      </c>
      <c r="C173" s="104" t="s">
        <v>212</v>
      </c>
      <c r="D173" s="199"/>
      <c r="E173" s="94"/>
      <c r="F173" s="94"/>
    </row>
    <row r="174" spans="1:6" s="6" customFormat="1" ht="22.5" customHeight="1" x14ac:dyDescent="0.2">
      <c r="A174" s="70" t="s">
        <v>213</v>
      </c>
      <c r="B174" s="86">
        <v>69.819999999999993</v>
      </c>
      <c r="C174" s="104" t="s">
        <v>214</v>
      </c>
      <c r="D174" s="199"/>
      <c r="E174" s="98"/>
      <c r="F174" s="98"/>
    </row>
    <row r="175" spans="1:6" s="6" customFormat="1" ht="22.5" customHeight="1" x14ac:dyDescent="0.2">
      <c r="A175" s="69">
        <v>43222</v>
      </c>
      <c r="B175" s="86">
        <v>279</v>
      </c>
      <c r="C175" s="104" t="s">
        <v>145</v>
      </c>
      <c r="D175" s="199"/>
      <c r="E175" s="98"/>
      <c r="F175" s="98"/>
    </row>
    <row r="176" spans="1:6" s="6" customFormat="1" ht="22.5" customHeight="1" x14ac:dyDescent="0.2">
      <c r="A176" s="69">
        <v>43222</v>
      </c>
      <c r="B176" s="86">
        <v>25</v>
      </c>
      <c r="C176" s="104" t="s">
        <v>215</v>
      </c>
      <c r="D176" s="199"/>
      <c r="E176" s="98"/>
      <c r="F176" s="98"/>
    </row>
    <row r="177" spans="1:6" s="6" customFormat="1" ht="22.5" customHeight="1" x14ac:dyDescent="0.2">
      <c r="A177" s="69">
        <v>43223</v>
      </c>
      <c r="B177" s="86">
        <v>39.5</v>
      </c>
      <c r="C177" s="104" t="s">
        <v>116</v>
      </c>
      <c r="D177" s="199"/>
      <c r="E177" s="98"/>
      <c r="F177" s="98"/>
    </row>
    <row r="178" spans="1:6" s="6" customFormat="1" ht="30" customHeight="1" x14ac:dyDescent="0.2">
      <c r="A178" s="119">
        <v>43223</v>
      </c>
      <c r="B178" s="120">
        <v>46.9</v>
      </c>
      <c r="C178" s="52" t="s">
        <v>114</v>
      </c>
      <c r="D178" s="126" t="s">
        <v>139</v>
      </c>
      <c r="E178" s="98"/>
      <c r="F178" s="98"/>
    </row>
    <row r="179" spans="1:6" s="6" customFormat="1" ht="30" customHeight="1" x14ac:dyDescent="0.2">
      <c r="A179" s="119">
        <v>43223</v>
      </c>
      <c r="B179" s="120">
        <v>31.3</v>
      </c>
      <c r="C179" s="52" t="s">
        <v>117</v>
      </c>
      <c r="D179" s="126" t="s">
        <v>139</v>
      </c>
      <c r="E179" s="98"/>
      <c r="F179" s="98"/>
    </row>
    <row r="180" spans="1:6" s="6" customFormat="1" ht="22.5" customHeight="1" x14ac:dyDescent="0.2">
      <c r="A180" s="119">
        <v>43228</v>
      </c>
      <c r="B180" s="120">
        <v>32</v>
      </c>
      <c r="C180" s="52" t="s">
        <v>114</v>
      </c>
      <c r="D180" s="198" t="s">
        <v>261</v>
      </c>
      <c r="E180" s="98"/>
      <c r="F180" s="98"/>
    </row>
    <row r="181" spans="1:6" s="6" customFormat="1" ht="22.5" customHeight="1" x14ac:dyDescent="0.2">
      <c r="A181" s="70" t="s">
        <v>216</v>
      </c>
      <c r="B181" s="86">
        <v>348.9</v>
      </c>
      <c r="C181" s="104" t="s">
        <v>148</v>
      </c>
      <c r="D181" s="199"/>
      <c r="E181" s="98"/>
      <c r="F181" s="98"/>
    </row>
    <row r="182" spans="1:6" s="6" customFormat="1" ht="22.5" customHeight="1" x14ac:dyDescent="0.2">
      <c r="A182" s="69">
        <v>43230</v>
      </c>
      <c r="B182" s="86">
        <v>24</v>
      </c>
      <c r="C182" s="104" t="s">
        <v>162</v>
      </c>
      <c r="D182" s="199"/>
      <c r="E182" s="98"/>
      <c r="F182" s="98"/>
    </row>
    <row r="183" spans="1:6" s="6" customFormat="1" ht="22.5" customHeight="1" x14ac:dyDescent="0.2">
      <c r="A183" s="69">
        <v>43234</v>
      </c>
      <c r="B183" s="86">
        <v>45.21</v>
      </c>
      <c r="C183" s="104" t="s">
        <v>115</v>
      </c>
      <c r="D183" s="199"/>
      <c r="E183" s="98"/>
      <c r="F183" s="98"/>
    </row>
    <row r="184" spans="1:6" s="6" customFormat="1" ht="22.5" customHeight="1" x14ac:dyDescent="0.2">
      <c r="A184" s="119">
        <v>43235</v>
      </c>
      <c r="B184" s="120">
        <v>41.6</v>
      </c>
      <c r="C184" s="52" t="s">
        <v>114</v>
      </c>
      <c r="D184" s="198" t="s">
        <v>262</v>
      </c>
      <c r="E184" s="94"/>
      <c r="F184" s="94"/>
    </row>
    <row r="185" spans="1:6" s="6" customFormat="1" ht="22.5" customHeight="1" x14ac:dyDescent="0.2">
      <c r="A185" s="69">
        <v>43236</v>
      </c>
      <c r="B185" s="86">
        <v>36.35</v>
      </c>
      <c r="C185" s="104" t="s">
        <v>278</v>
      </c>
      <c r="D185" s="199"/>
      <c r="E185" s="94"/>
      <c r="F185" s="94"/>
    </row>
    <row r="186" spans="1:6" s="6" customFormat="1" ht="22.5" customHeight="1" x14ac:dyDescent="0.2">
      <c r="A186" s="69">
        <v>43236</v>
      </c>
      <c r="B186" s="86">
        <v>31.8</v>
      </c>
      <c r="C186" s="104" t="s">
        <v>217</v>
      </c>
      <c r="D186" s="199"/>
      <c r="E186" s="94"/>
      <c r="F186" s="94"/>
    </row>
    <row r="187" spans="1:6" s="6" customFormat="1" ht="22.5" customHeight="1" x14ac:dyDescent="0.2">
      <c r="A187" s="69">
        <v>43236</v>
      </c>
      <c r="B187" s="86">
        <v>42.3</v>
      </c>
      <c r="C187" s="104" t="s">
        <v>116</v>
      </c>
      <c r="D187" s="199"/>
      <c r="E187" s="94"/>
      <c r="F187" s="94"/>
    </row>
    <row r="188" spans="1:6" s="6" customFormat="1" ht="30" customHeight="1" x14ac:dyDescent="0.2">
      <c r="A188" s="119">
        <v>43237</v>
      </c>
      <c r="B188" s="120">
        <v>40.799999999999997</v>
      </c>
      <c r="C188" s="52" t="s">
        <v>114</v>
      </c>
      <c r="D188" s="198" t="s">
        <v>139</v>
      </c>
      <c r="E188" s="98"/>
      <c r="F188" s="98"/>
    </row>
    <row r="189" spans="1:6" s="6" customFormat="1" ht="30" customHeight="1" x14ac:dyDescent="0.2">
      <c r="A189" s="69">
        <v>43238</v>
      </c>
      <c r="B189" s="86">
        <v>6</v>
      </c>
      <c r="C189" s="104" t="s">
        <v>162</v>
      </c>
      <c r="D189" s="199"/>
      <c r="E189" s="98"/>
      <c r="F189" s="98"/>
    </row>
    <row r="190" spans="1:6" s="6" customFormat="1" ht="22.5" customHeight="1" x14ac:dyDescent="0.2">
      <c r="A190" s="119">
        <v>43244</v>
      </c>
      <c r="B190" s="120">
        <v>56.7</v>
      </c>
      <c r="C190" s="52" t="s">
        <v>114</v>
      </c>
      <c r="D190" s="198" t="s">
        <v>263</v>
      </c>
      <c r="E190" s="98"/>
      <c r="F190" s="98"/>
    </row>
    <row r="191" spans="1:6" s="6" customFormat="1" ht="22.5" customHeight="1" x14ac:dyDescent="0.2">
      <c r="A191" s="70" t="s">
        <v>219</v>
      </c>
      <c r="B191" s="86">
        <v>548.9</v>
      </c>
      <c r="C191" s="104" t="s">
        <v>126</v>
      </c>
      <c r="D191" s="199"/>
      <c r="E191" s="94"/>
      <c r="F191" s="94"/>
    </row>
    <row r="192" spans="1:6" s="6" customFormat="1" ht="22.5" customHeight="1" x14ac:dyDescent="0.2">
      <c r="A192" s="69">
        <v>43244</v>
      </c>
      <c r="B192" s="86">
        <v>41.6</v>
      </c>
      <c r="C192" s="104" t="s">
        <v>117</v>
      </c>
      <c r="D192" s="199"/>
      <c r="E192" s="98"/>
      <c r="F192" s="98"/>
    </row>
    <row r="193" spans="1:6" s="6" customFormat="1" ht="22.5" customHeight="1" x14ac:dyDescent="0.2">
      <c r="A193" s="69">
        <v>43245</v>
      </c>
      <c r="B193" s="86">
        <v>12</v>
      </c>
      <c r="C193" s="104" t="s">
        <v>162</v>
      </c>
      <c r="D193" s="199"/>
      <c r="E193" s="98"/>
      <c r="F193" s="98"/>
    </row>
    <row r="194" spans="1:6" s="6" customFormat="1" ht="22.5" customHeight="1" x14ac:dyDescent="0.2">
      <c r="A194" s="69">
        <v>43248</v>
      </c>
      <c r="B194" s="86">
        <v>40.54</v>
      </c>
      <c r="C194" s="104" t="s">
        <v>115</v>
      </c>
      <c r="D194" s="199"/>
      <c r="E194" s="98"/>
      <c r="F194" s="98"/>
    </row>
    <row r="195" spans="1:6" s="6" customFormat="1" ht="22.5" customHeight="1" x14ac:dyDescent="0.2">
      <c r="A195" s="69">
        <v>43248</v>
      </c>
      <c r="B195" s="86">
        <v>30.61</v>
      </c>
      <c r="C195" s="104" t="s">
        <v>116</v>
      </c>
      <c r="D195" s="199"/>
      <c r="E195" s="98"/>
      <c r="F195" s="98"/>
    </row>
    <row r="196" spans="1:6" s="6" customFormat="1" ht="22.5" customHeight="1" x14ac:dyDescent="0.2">
      <c r="A196" s="119">
        <v>43251</v>
      </c>
      <c r="B196" s="120">
        <v>24.52</v>
      </c>
      <c r="C196" s="52" t="s">
        <v>114</v>
      </c>
      <c r="D196" s="198" t="s">
        <v>139</v>
      </c>
      <c r="E196" s="98"/>
      <c r="F196" s="98"/>
    </row>
    <row r="197" spans="1:6" s="6" customFormat="1" ht="22.5" customHeight="1" x14ac:dyDescent="0.2">
      <c r="A197" s="69">
        <v>43251</v>
      </c>
      <c r="B197" s="86">
        <v>37.200000000000003</v>
      </c>
      <c r="C197" s="104" t="s">
        <v>117</v>
      </c>
      <c r="D197" s="199"/>
      <c r="E197" s="98"/>
      <c r="F197" s="98"/>
    </row>
    <row r="198" spans="1:6" s="6" customFormat="1" ht="22.5" customHeight="1" x14ac:dyDescent="0.2">
      <c r="A198" s="119">
        <v>43255</v>
      </c>
      <c r="B198" s="120">
        <v>23.39</v>
      </c>
      <c r="C198" s="52" t="s">
        <v>115</v>
      </c>
      <c r="D198" s="198" t="s">
        <v>264</v>
      </c>
      <c r="E198" s="98"/>
      <c r="F198" s="98"/>
    </row>
    <row r="199" spans="1:6" s="6" customFormat="1" ht="22.5" customHeight="1" x14ac:dyDescent="0.2">
      <c r="A199" s="69">
        <v>43255</v>
      </c>
      <c r="B199" s="86">
        <v>20.079999999999998</v>
      </c>
      <c r="C199" s="104" t="s">
        <v>116</v>
      </c>
      <c r="D199" s="199"/>
      <c r="E199" s="98"/>
      <c r="F199" s="98"/>
    </row>
    <row r="200" spans="1:6" s="6" customFormat="1" ht="22.5" customHeight="1" x14ac:dyDescent="0.2">
      <c r="A200" s="70" t="s">
        <v>220</v>
      </c>
      <c r="B200" s="86">
        <v>567.9</v>
      </c>
      <c r="C200" s="104" t="s">
        <v>126</v>
      </c>
      <c r="D200" s="199"/>
      <c r="E200" s="98"/>
      <c r="F200" s="98"/>
    </row>
    <row r="201" spans="1:6" s="6" customFormat="1" ht="22.5" customHeight="1" x14ac:dyDescent="0.2">
      <c r="A201" s="69">
        <v>43256</v>
      </c>
      <c r="B201" s="86">
        <v>33.6</v>
      </c>
      <c r="C201" s="104" t="s">
        <v>117</v>
      </c>
      <c r="D201" s="199"/>
      <c r="E201" s="98"/>
      <c r="F201" s="98"/>
    </row>
    <row r="202" spans="1:6" s="6" customFormat="1" ht="22.5" customHeight="1" x14ac:dyDescent="0.2">
      <c r="A202" s="125" t="s">
        <v>221</v>
      </c>
      <c r="B202" s="120">
        <v>610.9</v>
      </c>
      <c r="C202" s="52" t="s">
        <v>126</v>
      </c>
      <c r="D202" s="198" t="s">
        <v>224</v>
      </c>
      <c r="E202" s="94"/>
      <c r="F202" s="94"/>
    </row>
    <row r="203" spans="1:6" s="6" customFormat="1" ht="22.5" customHeight="1" x14ac:dyDescent="0.2">
      <c r="A203" s="69">
        <v>43262</v>
      </c>
      <c r="B203" s="86">
        <v>21.32</v>
      </c>
      <c r="C203" s="104" t="s">
        <v>115</v>
      </c>
      <c r="D203" s="199"/>
      <c r="E203" s="98"/>
      <c r="F203" s="98"/>
    </row>
    <row r="204" spans="1:6" s="6" customFormat="1" ht="22.5" customHeight="1" x14ac:dyDescent="0.2">
      <c r="A204" s="69">
        <v>43262</v>
      </c>
      <c r="B204" s="86">
        <v>23.86</v>
      </c>
      <c r="C204" s="104" t="s">
        <v>116</v>
      </c>
      <c r="D204" s="199"/>
      <c r="E204" s="98"/>
      <c r="F204" s="98"/>
    </row>
    <row r="205" spans="1:6" s="6" customFormat="1" ht="22.5" customHeight="1" x14ac:dyDescent="0.2">
      <c r="A205" s="119">
        <v>43265</v>
      </c>
      <c r="B205" s="120">
        <v>24.83</v>
      </c>
      <c r="C205" s="52" t="s">
        <v>114</v>
      </c>
      <c r="D205" s="198" t="s">
        <v>265</v>
      </c>
      <c r="E205" s="98"/>
      <c r="F205" s="98"/>
    </row>
    <row r="206" spans="1:6" s="6" customFormat="1" ht="22.5" customHeight="1" x14ac:dyDescent="0.2">
      <c r="A206" s="70" t="s">
        <v>222</v>
      </c>
      <c r="B206" s="86">
        <v>567.9</v>
      </c>
      <c r="C206" s="104" t="s">
        <v>126</v>
      </c>
      <c r="D206" s="199"/>
      <c r="E206" s="94"/>
      <c r="F206" s="94"/>
    </row>
    <row r="207" spans="1:6" s="6" customFormat="1" ht="22.5" customHeight="1" x14ac:dyDescent="0.2">
      <c r="A207" s="69">
        <v>43265</v>
      </c>
      <c r="B207" s="86">
        <v>31.8</v>
      </c>
      <c r="C207" s="104" t="s">
        <v>117</v>
      </c>
      <c r="D207" s="199"/>
      <c r="E207" s="98"/>
      <c r="F207" s="98"/>
    </row>
    <row r="208" spans="1:6" s="6" customFormat="1" ht="22.5" customHeight="1" x14ac:dyDescent="0.2">
      <c r="A208" s="69">
        <v>43269</v>
      </c>
      <c r="B208" s="86">
        <v>19.29</v>
      </c>
      <c r="C208" s="104" t="s">
        <v>115</v>
      </c>
      <c r="D208" s="199"/>
      <c r="E208" s="98"/>
      <c r="F208" s="98"/>
    </row>
    <row r="209" spans="1:6" s="6" customFormat="1" ht="22.5" customHeight="1" x14ac:dyDescent="0.2">
      <c r="A209" s="125" t="s">
        <v>223</v>
      </c>
      <c r="B209" s="120">
        <v>557.9</v>
      </c>
      <c r="C209" s="52" t="s">
        <v>126</v>
      </c>
      <c r="D209" s="198" t="s">
        <v>266</v>
      </c>
      <c r="E209" s="94"/>
      <c r="F209" s="94"/>
    </row>
    <row r="210" spans="1:6" s="6" customFormat="1" ht="22.5" customHeight="1" x14ac:dyDescent="0.2">
      <c r="A210" s="69">
        <v>43272</v>
      </c>
      <c r="B210" s="86">
        <v>33.4</v>
      </c>
      <c r="C210" s="104" t="s">
        <v>117</v>
      </c>
      <c r="D210" s="199"/>
      <c r="E210" s="94"/>
      <c r="F210" s="94"/>
    </row>
    <row r="211" spans="1:6" s="6" customFormat="1" ht="22.5" customHeight="1" x14ac:dyDescent="0.2">
      <c r="A211" s="69">
        <v>43276</v>
      </c>
      <c r="B211" s="86">
        <v>19.600000000000001</v>
      </c>
      <c r="C211" s="104" t="s">
        <v>115</v>
      </c>
      <c r="D211" s="199"/>
      <c r="E211" s="94"/>
      <c r="F211" s="94"/>
    </row>
    <row r="212" spans="1:6" s="6" customFormat="1" ht="22.5" customHeight="1" x14ac:dyDescent="0.2">
      <c r="A212" s="69">
        <v>43276</v>
      </c>
      <c r="B212" s="86">
        <v>24.17</v>
      </c>
      <c r="C212" s="104" t="s">
        <v>116</v>
      </c>
      <c r="D212" s="199"/>
      <c r="E212" s="94"/>
      <c r="F212" s="94"/>
    </row>
    <row r="213" spans="1:6" s="6" customFormat="1" ht="22.5" customHeight="1" x14ac:dyDescent="0.2">
      <c r="A213" s="119">
        <v>43279</v>
      </c>
      <c r="B213" s="120">
        <v>44.6</v>
      </c>
      <c r="C213" s="52" t="s">
        <v>114</v>
      </c>
      <c r="D213" s="198" t="s">
        <v>139</v>
      </c>
      <c r="E213" s="98"/>
      <c r="F213" s="98"/>
    </row>
    <row r="214" spans="1:6" s="97" customFormat="1" ht="22.5" customHeight="1" x14ac:dyDescent="0.2">
      <c r="A214" s="69">
        <v>43279</v>
      </c>
      <c r="B214" s="86">
        <v>524.9</v>
      </c>
      <c r="C214" s="104" t="s">
        <v>126</v>
      </c>
      <c r="D214" s="199"/>
      <c r="E214" s="20"/>
      <c r="F214" s="20"/>
    </row>
    <row r="215" spans="1:6" s="6" customFormat="1" ht="22.5" customHeight="1" x14ac:dyDescent="0.2">
      <c r="A215" s="117">
        <v>43279</v>
      </c>
      <c r="B215" s="118">
        <v>29.4</v>
      </c>
      <c r="C215" s="54" t="s">
        <v>117</v>
      </c>
      <c r="D215" s="219"/>
      <c r="E215" s="98"/>
      <c r="F215" s="98"/>
    </row>
    <row r="216" spans="1:6" ht="12" customHeight="1" x14ac:dyDescent="0.2">
      <c r="C216" s="89"/>
      <c r="D216" s="100"/>
      <c r="E216" s="89"/>
      <c r="F216" s="89"/>
    </row>
    <row r="217" spans="1:6" ht="12" customHeight="1" x14ac:dyDescent="0.2">
      <c r="A217" s="60"/>
      <c r="B217" s="64"/>
      <c r="C217" s="96"/>
      <c r="D217" s="96"/>
      <c r="E217" s="81"/>
      <c r="F217" s="81"/>
    </row>
    <row r="218" spans="1:6" ht="12" customHeight="1" x14ac:dyDescent="0.2">
      <c r="A218" s="60"/>
      <c r="B218" s="64"/>
      <c r="C218" s="40"/>
      <c r="D218" s="100"/>
      <c r="E218" s="81"/>
      <c r="F218" s="81"/>
    </row>
    <row r="219" spans="1:6" s="19" customFormat="1" ht="19.5" customHeight="1" x14ac:dyDescent="0.2">
      <c r="A219" s="172" t="s">
        <v>4</v>
      </c>
      <c r="B219" s="173">
        <f>SUM(B34:B218)</f>
        <v>27323.370000000017</v>
      </c>
      <c r="C219" s="145"/>
      <c r="D219" s="145"/>
      <c r="E219" s="145"/>
      <c r="F219" s="145"/>
    </row>
    <row r="220" spans="1:6" ht="32.25" customHeight="1" x14ac:dyDescent="0.2">
      <c r="A220" s="214" t="s">
        <v>16</v>
      </c>
      <c r="B220" s="215"/>
      <c r="C220" s="215"/>
      <c r="D220" s="177"/>
      <c r="E220" s="4"/>
      <c r="F220" s="3"/>
    </row>
    <row r="221" spans="1:6" s="19" customFormat="1" ht="25.5" customHeight="1" x14ac:dyDescent="0.2">
      <c r="A221" s="174" t="s">
        <v>0</v>
      </c>
      <c r="B221" s="175" t="s">
        <v>101</v>
      </c>
      <c r="C221" s="176" t="s">
        <v>11</v>
      </c>
      <c r="D221" s="176" t="s">
        <v>61</v>
      </c>
      <c r="E221" s="111"/>
      <c r="F221" s="111"/>
    </row>
    <row r="222" spans="1:6" ht="30" customHeight="1" x14ac:dyDescent="0.2">
      <c r="A222" s="121">
        <v>42998</v>
      </c>
      <c r="B222" s="122">
        <v>13</v>
      </c>
      <c r="C222" s="123" t="s">
        <v>122</v>
      </c>
      <c r="D222" s="124" t="s">
        <v>123</v>
      </c>
      <c r="E222" s="81"/>
      <c r="F222" s="81"/>
    </row>
    <row r="223" spans="1:6" s="6" customFormat="1" ht="42" customHeight="1" x14ac:dyDescent="0.2">
      <c r="A223" s="138">
        <v>43008</v>
      </c>
      <c r="B223" s="139">
        <v>16.899999999999999</v>
      </c>
      <c r="C223" s="14" t="s">
        <v>239</v>
      </c>
      <c r="D223" s="140" t="s">
        <v>130</v>
      </c>
      <c r="E223" s="98"/>
      <c r="F223" s="98"/>
    </row>
    <row r="224" spans="1:6" s="6" customFormat="1" ht="30" customHeight="1" x14ac:dyDescent="0.2">
      <c r="A224" s="138">
        <v>43008</v>
      </c>
      <c r="B224" s="139">
        <v>31</v>
      </c>
      <c r="C224" s="14" t="s">
        <v>140</v>
      </c>
      <c r="D224" s="140" t="s">
        <v>267</v>
      </c>
      <c r="E224" s="80"/>
      <c r="F224" s="80"/>
    </row>
    <row r="225" spans="1:6" ht="30" customHeight="1" x14ac:dyDescent="0.2">
      <c r="A225" s="121">
        <v>43026</v>
      </c>
      <c r="B225" s="122">
        <v>11.2</v>
      </c>
      <c r="C225" s="123" t="s">
        <v>140</v>
      </c>
      <c r="D225" s="124" t="s">
        <v>268</v>
      </c>
      <c r="E225" s="82"/>
      <c r="F225" s="82"/>
    </row>
    <row r="226" spans="1:6" s="6" customFormat="1" ht="30" customHeight="1" x14ac:dyDescent="0.2">
      <c r="A226" s="141" t="s">
        <v>153</v>
      </c>
      <c r="B226" s="139">
        <v>61.56</v>
      </c>
      <c r="C226" s="14" t="s">
        <v>154</v>
      </c>
      <c r="D226" s="140" t="s">
        <v>230</v>
      </c>
      <c r="E226" s="99"/>
      <c r="F226" s="99"/>
    </row>
    <row r="227" spans="1:6" s="6" customFormat="1" ht="30" customHeight="1" x14ac:dyDescent="0.2">
      <c r="A227" s="138">
        <v>43052</v>
      </c>
      <c r="B227" s="139">
        <f>26.5</f>
        <v>26.5</v>
      </c>
      <c r="C227" s="14" t="s">
        <v>122</v>
      </c>
      <c r="D227" s="140" t="s">
        <v>269</v>
      </c>
      <c r="E227" s="84"/>
      <c r="F227" s="84"/>
    </row>
    <row r="228" spans="1:6" s="6" customFormat="1" ht="30" customHeight="1" x14ac:dyDescent="0.2">
      <c r="A228" s="138">
        <v>43088</v>
      </c>
      <c r="B228" s="139">
        <f>17</f>
        <v>17</v>
      </c>
      <c r="C228" s="14" t="s">
        <v>122</v>
      </c>
      <c r="D228" s="140" t="s">
        <v>271</v>
      </c>
      <c r="E228" s="88"/>
      <c r="F228" s="88"/>
    </row>
    <row r="229" spans="1:6" s="6" customFormat="1" ht="22.5" customHeight="1" x14ac:dyDescent="0.2">
      <c r="A229" s="138">
        <v>43152</v>
      </c>
      <c r="B229" s="139">
        <f>19.1</f>
        <v>19.100000000000001</v>
      </c>
      <c r="C229" s="14" t="s">
        <v>122</v>
      </c>
      <c r="D229" s="140" t="s">
        <v>270</v>
      </c>
      <c r="E229" s="88"/>
      <c r="F229" s="88"/>
    </row>
    <row r="230" spans="1:6" s="6" customFormat="1" ht="22.5" customHeight="1" x14ac:dyDescent="0.2">
      <c r="A230" s="138">
        <v>43152</v>
      </c>
      <c r="B230" s="139">
        <f>20.4</f>
        <v>20.399999999999999</v>
      </c>
      <c r="C230" s="14" t="s">
        <v>140</v>
      </c>
      <c r="D230" s="140" t="s">
        <v>270</v>
      </c>
      <c r="E230" s="88"/>
      <c r="F230" s="88"/>
    </row>
    <row r="231" spans="1:6" ht="12.75" customHeight="1" x14ac:dyDescent="0.2">
      <c r="A231" s="60"/>
      <c r="B231" s="64"/>
      <c r="C231" s="82"/>
      <c r="D231" s="100"/>
      <c r="E231" s="82"/>
      <c r="F231" s="82"/>
    </row>
    <row r="232" spans="1:6" ht="12.75" customHeight="1" x14ac:dyDescent="0.2">
      <c r="A232" s="60"/>
      <c r="B232" s="64"/>
      <c r="C232" s="82"/>
      <c r="D232" s="100"/>
      <c r="E232" s="82"/>
      <c r="F232" s="82"/>
    </row>
    <row r="233" spans="1:6" ht="12.75" customHeight="1" x14ac:dyDescent="0.2">
      <c r="A233" s="60"/>
      <c r="B233" s="64"/>
      <c r="C233" s="40"/>
      <c r="D233" s="100"/>
      <c r="E233" s="81"/>
      <c r="F233" s="81"/>
    </row>
    <row r="234" spans="1:6" ht="12.75" hidden="1" customHeight="1" x14ac:dyDescent="0.2">
      <c r="A234" s="60"/>
      <c r="B234" s="64"/>
      <c r="C234" s="40"/>
      <c r="D234" s="100"/>
      <c r="E234" s="81"/>
      <c r="F234" s="81"/>
    </row>
    <row r="235" spans="1:6" ht="19.5" customHeight="1" x14ac:dyDescent="0.2">
      <c r="A235" s="144" t="s">
        <v>4</v>
      </c>
      <c r="B235" s="168">
        <f>SUM(B222:B234)</f>
        <v>216.66</v>
      </c>
      <c r="C235" s="40"/>
      <c r="D235" s="100"/>
      <c r="E235" s="81"/>
      <c r="F235" s="81"/>
    </row>
    <row r="236" spans="1:6" s="4" customFormat="1" ht="32.25" customHeight="1" x14ac:dyDescent="0.2">
      <c r="A236" s="165" t="s">
        <v>7</v>
      </c>
      <c r="B236" s="169">
        <f>B31+B219+B235</f>
        <v>30797.790000000015</v>
      </c>
      <c r="C236" s="142"/>
      <c r="D236" s="143"/>
      <c r="E236" s="112"/>
      <c r="F236" s="112"/>
    </row>
    <row r="237" spans="1:6" s="40" customFormat="1" x14ac:dyDescent="0.2">
      <c r="A237" s="62"/>
      <c r="B237" s="66"/>
      <c r="C237" s="39"/>
      <c r="D237" s="39"/>
      <c r="E237" s="105"/>
      <c r="F237" s="105"/>
    </row>
    <row r="238" spans="1:6" s="42" customFormat="1" x14ac:dyDescent="0.2">
      <c r="A238" s="178" t="s">
        <v>30</v>
      </c>
      <c r="B238" s="66"/>
      <c r="C238" s="39"/>
      <c r="D238" s="179"/>
      <c r="E238" s="81"/>
      <c r="F238" s="81"/>
    </row>
    <row r="239" spans="1:6" s="42" customFormat="1" ht="12.6" customHeight="1" x14ac:dyDescent="0.2">
      <c r="A239" s="201" t="s">
        <v>31</v>
      </c>
      <c r="B239" s="202"/>
      <c r="C239" s="202"/>
      <c r="D239" s="155"/>
      <c r="F239" s="81"/>
    </row>
    <row r="240" spans="1:6" s="40" customFormat="1" ht="12.95" customHeight="1" x14ac:dyDescent="0.2">
      <c r="A240" s="203" t="s">
        <v>36</v>
      </c>
      <c r="B240" s="204"/>
      <c r="C240" s="204"/>
      <c r="D240" s="5"/>
      <c r="F240" s="81"/>
    </row>
    <row r="241" spans="1:6" x14ac:dyDescent="0.2">
      <c r="A241" s="63" t="s">
        <v>32</v>
      </c>
      <c r="B241" s="67"/>
      <c r="C241" s="131"/>
      <c r="D241" s="5"/>
      <c r="E241" s="81"/>
      <c r="F241" s="81"/>
    </row>
    <row r="242" spans="1:6" x14ac:dyDescent="0.2">
      <c r="A242" s="63" t="s">
        <v>62</v>
      </c>
      <c r="B242" s="67"/>
      <c r="C242" s="131"/>
      <c r="D242" s="5"/>
      <c r="E242" s="81"/>
      <c r="F242" s="81"/>
    </row>
    <row r="243" spans="1:6" x14ac:dyDescent="0.2">
      <c r="A243" s="63" t="s">
        <v>46</v>
      </c>
      <c r="B243" s="67"/>
      <c r="C243" s="131"/>
      <c r="D243" s="5"/>
      <c r="E243" s="81"/>
      <c r="F243" s="81"/>
    </row>
    <row r="244" spans="1:6" x14ac:dyDescent="0.2">
      <c r="A244" s="220" t="s">
        <v>47</v>
      </c>
      <c r="B244" s="221"/>
      <c r="C244" s="221"/>
      <c r="D244" s="222"/>
    </row>
    <row r="245" spans="1:6" x14ac:dyDescent="0.2">
      <c r="A245" s="62"/>
      <c r="B245" s="64"/>
      <c r="C245" s="40"/>
      <c r="D245" s="100"/>
      <c r="E245" s="81"/>
      <c r="F245" s="81"/>
    </row>
    <row r="246" spans="1:6" x14ac:dyDescent="0.2">
      <c r="A246" s="62"/>
      <c r="B246" s="64"/>
      <c r="C246" s="40"/>
      <c r="D246" s="100"/>
      <c r="E246" s="81"/>
      <c r="F246" s="81"/>
    </row>
    <row r="247" spans="1:6" x14ac:dyDescent="0.2">
      <c r="A247" s="62"/>
      <c r="B247" s="64"/>
      <c r="C247" s="40"/>
      <c r="D247" s="100"/>
      <c r="E247" s="81"/>
      <c r="F247" s="81"/>
    </row>
    <row r="248" spans="1:6" x14ac:dyDescent="0.2">
      <c r="A248" s="62"/>
      <c r="B248" s="64"/>
      <c r="C248" s="40"/>
      <c r="D248" s="100"/>
      <c r="E248" s="81"/>
      <c r="F248" s="81"/>
    </row>
    <row r="249" spans="1:6" x14ac:dyDescent="0.2">
      <c r="A249" s="62"/>
      <c r="B249" s="64"/>
      <c r="C249" s="40"/>
      <c r="D249" s="100"/>
      <c r="E249" s="81"/>
      <c r="F249" s="81"/>
    </row>
    <row r="250" spans="1:6" x14ac:dyDescent="0.2">
      <c r="A250" s="62"/>
      <c r="B250" s="64"/>
      <c r="C250" s="40"/>
      <c r="D250" s="100"/>
      <c r="E250" s="81"/>
      <c r="F250" s="81"/>
    </row>
    <row r="251" spans="1:6" x14ac:dyDescent="0.2">
      <c r="A251" s="62"/>
      <c r="B251" s="64"/>
      <c r="C251" s="40"/>
      <c r="D251" s="100"/>
      <c r="E251" s="81"/>
      <c r="F251" s="81"/>
    </row>
    <row r="252" spans="1:6" x14ac:dyDescent="0.2">
      <c r="A252" s="62"/>
      <c r="B252" s="64"/>
      <c r="C252" s="40"/>
      <c r="D252" s="100"/>
      <c r="E252" s="81"/>
      <c r="F252" s="81"/>
    </row>
    <row r="253" spans="1:6" x14ac:dyDescent="0.2">
      <c r="A253" s="62"/>
      <c r="B253" s="64"/>
      <c r="C253" s="40"/>
      <c r="D253" s="100"/>
      <c r="E253" s="81"/>
      <c r="F253" s="81"/>
    </row>
    <row r="254" spans="1:6" x14ac:dyDescent="0.2">
      <c r="A254" s="62"/>
      <c r="B254" s="64"/>
      <c r="C254" s="40"/>
      <c r="D254" s="100"/>
      <c r="E254" s="81"/>
      <c r="F254" s="81"/>
    </row>
    <row r="255" spans="1:6" x14ac:dyDescent="0.2">
      <c r="A255" s="62"/>
      <c r="B255" s="64"/>
      <c r="C255" s="40"/>
      <c r="D255" s="100"/>
      <c r="E255" s="81"/>
      <c r="F255" s="81"/>
    </row>
  </sheetData>
  <mergeCells count="56">
    <mergeCell ref="D205:D208"/>
    <mergeCell ref="D209:D212"/>
    <mergeCell ref="D213:D215"/>
    <mergeCell ref="D40:D43"/>
    <mergeCell ref="D184:D187"/>
    <mergeCell ref="D190:D195"/>
    <mergeCell ref="D198:D201"/>
    <mergeCell ref="D202:D204"/>
    <mergeCell ref="D155:D157"/>
    <mergeCell ref="D159:D161"/>
    <mergeCell ref="D167:D171"/>
    <mergeCell ref="D172:D177"/>
    <mergeCell ref="D180:D183"/>
    <mergeCell ref="D143:D146"/>
    <mergeCell ref="D147:D150"/>
    <mergeCell ref="D151:D152"/>
    <mergeCell ref="D123:D129"/>
    <mergeCell ref="D93:D99"/>
    <mergeCell ref="D100:D103"/>
    <mergeCell ref="D104:D106"/>
    <mergeCell ref="D153:D154"/>
    <mergeCell ref="D130:D134"/>
    <mergeCell ref="D135:D139"/>
    <mergeCell ref="D140:D142"/>
    <mergeCell ref="D44:D47"/>
    <mergeCell ref="D48:D49"/>
    <mergeCell ref="D50:D52"/>
    <mergeCell ref="D53:D60"/>
    <mergeCell ref="A244:D244"/>
    <mergeCell ref="D77:D81"/>
    <mergeCell ref="D82:D86"/>
    <mergeCell ref="D87:D89"/>
    <mergeCell ref="D90:D91"/>
    <mergeCell ref="D61:D65"/>
    <mergeCell ref="D66:D67"/>
    <mergeCell ref="D68:D71"/>
    <mergeCell ref="D73:D74"/>
    <mergeCell ref="D75:D76"/>
    <mergeCell ref="D109:D114"/>
    <mergeCell ref="D115:D122"/>
    <mergeCell ref="D196:D197"/>
    <mergeCell ref="D188:D189"/>
    <mergeCell ref="A1:D1"/>
    <mergeCell ref="A239:C239"/>
    <mergeCell ref="A240:C240"/>
    <mergeCell ref="A7:D7"/>
    <mergeCell ref="B2:D2"/>
    <mergeCell ref="B3:D3"/>
    <mergeCell ref="B4:D4"/>
    <mergeCell ref="A5:D5"/>
    <mergeCell ref="A6:D6"/>
    <mergeCell ref="A32:C32"/>
    <mergeCell ref="A220:C220"/>
    <mergeCell ref="D9:D18"/>
    <mergeCell ref="D19:D26"/>
    <mergeCell ref="D34:D35"/>
  </mergeCells>
  <printOptions gridLines="1"/>
  <pageMargins left="0.70866141732283472" right="0.70866141732283472" top="0.74803149606299213" bottom="0.74803149606299213" header="0.31496062992125984" footer="0.31496062992125984"/>
  <pageSetup paperSize="8" fitToHeight="0" orientation="portrait" r:id="rId1"/>
  <headerFooter alignWithMargins="0">
    <oddFooter>Page &amp;P of &amp;N</oddFooter>
  </headerFooter>
  <rowBreaks count="3" manualBreakCount="3">
    <brk id="43" max="3" man="1"/>
    <brk id="134" max="3" man="1"/>
    <brk id="17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Normal="100" workbookViewId="0">
      <selection activeCell="A7" sqref="A7:B7"/>
    </sheetView>
  </sheetViews>
  <sheetFormatPr defaultColWidth="9.140625" defaultRowHeight="12.75" x14ac:dyDescent="0.2"/>
  <cols>
    <col min="1" max="2" width="23.5703125" style="9" customWidth="1"/>
    <col min="3" max="6" width="27.5703125" style="9" customWidth="1"/>
    <col min="7" max="16384" width="9.140625" style="10"/>
  </cols>
  <sheetData>
    <row r="1" spans="1:7" ht="36" customHeight="1" x14ac:dyDescent="0.2">
      <c r="A1" s="200" t="s">
        <v>25</v>
      </c>
      <c r="B1" s="200"/>
      <c r="C1" s="200"/>
      <c r="D1" s="200"/>
      <c r="E1" s="200"/>
      <c r="F1" s="200"/>
    </row>
    <row r="2" spans="1:7" ht="36" customHeight="1" x14ac:dyDescent="0.2">
      <c r="A2" s="21" t="s">
        <v>8</v>
      </c>
      <c r="B2" s="206" t="str">
        <f>Travel!B2</f>
        <v>Ministry for Pacific Peoples</v>
      </c>
      <c r="C2" s="206"/>
      <c r="D2" s="206"/>
      <c r="E2" s="206"/>
      <c r="F2" s="206"/>
    </row>
    <row r="3" spans="1:7" ht="36" customHeight="1" x14ac:dyDescent="0.2">
      <c r="A3" s="21" t="s">
        <v>9</v>
      </c>
      <c r="B3" s="207" t="str">
        <f>Travel!B3</f>
        <v>Mac Leauanae</v>
      </c>
      <c r="C3" s="207"/>
      <c r="D3" s="207"/>
      <c r="E3" s="207"/>
      <c r="F3" s="207"/>
    </row>
    <row r="4" spans="1:7" ht="36" customHeight="1" x14ac:dyDescent="0.2">
      <c r="A4" s="21" t="s">
        <v>3</v>
      </c>
      <c r="B4" s="207" t="str">
        <f>Travel!B4</f>
        <v>3 July 2017 to 30 June 2018</v>
      </c>
      <c r="C4" s="207"/>
      <c r="D4" s="207"/>
      <c r="E4" s="207"/>
      <c r="F4" s="207"/>
    </row>
    <row r="5" spans="1:7" s="8" customFormat="1" ht="35.25" customHeight="1" x14ac:dyDescent="0.25">
      <c r="A5" s="227" t="s">
        <v>48</v>
      </c>
      <c r="B5" s="227"/>
      <c r="C5" s="228"/>
      <c r="D5" s="228"/>
      <c r="E5" s="228"/>
      <c r="F5" s="228"/>
    </row>
    <row r="6" spans="1:7" s="8" customFormat="1" ht="35.25" customHeight="1" x14ac:dyDescent="0.25">
      <c r="A6" s="225" t="s">
        <v>286</v>
      </c>
      <c r="B6" s="226"/>
      <c r="C6" s="226"/>
      <c r="D6" s="226"/>
      <c r="E6" s="226"/>
      <c r="F6" s="226"/>
    </row>
    <row r="7" spans="1:7" s="2" customFormat="1" ht="19.5" customHeight="1" x14ac:dyDescent="0.25">
      <c r="A7" s="223" t="s">
        <v>22</v>
      </c>
      <c r="B7" s="224"/>
      <c r="C7" s="193"/>
      <c r="D7" s="193"/>
      <c r="E7" s="193"/>
      <c r="F7" s="194"/>
    </row>
    <row r="8" spans="1:7" ht="25.5" x14ac:dyDescent="0.2">
      <c r="A8" s="191" t="s">
        <v>0</v>
      </c>
      <c r="B8" s="192" t="s">
        <v>109</v>
      </c>
      <c r="C8" s="191" t="s">
        <v>5</v>
      </c>
      <c r="D8" s="191" t="s">
        <v>13</v>
      </c>
      <c r="E8" s="191" t="s">
        <v>12</v>
      </c>
      <c r="F8" s="191" t="s">
        <v>1</v>
      </c>
    </row>
    <row r="9" spans="1:7" ht="42" customHeight="1" x14ac:dyDescent="0.2">
      <c r="A9" s="132">
        <v>43070</v>
      </c>
      <c r="B9" s="133">
        <v>100</v>
      </c>
      <c r="C9" s="134" t="s">
        <v>170</v>
      </c>
      <c r="D9" s="134" t="s">
        <v>176</v>
      </c>
      <c r="E9" s="134" t="s">
        <v>169</v>
      </c>
      <c r="F9" s="134" t="s">
        <v>135</v>
      </c>
    </row>
    <row r="10" spans="1:7" s="6" customFormat="1" ht="30" customHeight="1" x14ac:dyDescent="0.2">
      <c r="A10" s="132">
        <v>43132</v>
      </c>
      <c r="B10" s="133">
        <v>25.1</v>
      </c>
      <c r="C10" s="134" t="s">
        <v>139</v>
      </c>
      <c r="D10" s="134" t="s">
        <v>202</v>
      </c>
      <c r="E10" s="134" t="s">
        <v>169</v>
      </c>
      <c r="F10" s="134" t="s">
        <v>136</v>
      </c>
      <c r="G10" s="106"/>
    </row>
    <row r="11" spans="1:7" x14ac:dyDescent="0.2">
      <c r="A11" s="69"/>
      <c r="B11" s="86"/>
      <c r="C11" s="84"/>
      <c r="D11" s="84"/>
      <c r="E11" s="84"/>
      <c r="F11" s="85"/>
    </row>
    <row r="12" spans="1:7" x14ac:dyDescent="0.2">
      <c r="A12" s="69"/>
      <c r="B12" s="86"/>
      <c r="C12" s="84"/>
      <c r="D12" s="84"/>
      <c r="E12" s="84"/>
      <c r="F12" s="85"/>
    </row>
    <row r="13" spans="1:7" ht="11.25" customHeight="1" x14ac:dyDescent="0.2">
      <c r="A13" s="12"/>
      <c r="F13" s="13"/>
    </row>
    <row r="14" spans="1:7" hidden="1" x14ac:dyDescent="0.2">
      <c r="A14" s="12"/>
      <c r="F14" s="13"/>
    </row>
    <row r="15" spans="1:7" s="11" customFormat="1" ht="25.5" hidden="1" customHeight="1" x14ac:dyDescent="0.2">
      <c r="A15" s="12"/>
      <c r="B15" s="9"/>
      <c r="C15" s="9"/>
      <c r="D15" s="9"/>
      <c r="E15" s="9"/>
      <c r="F15" s="13"/>
    </row>
    <row r="16" spans="1:7" ht="36.75" customHeight="1" x14ac:dyDescent="0.2">
      <c r="A16" s="41" t="s">
        <v>23</v>
      </c>
      <c r="B16" s="170">
        <f>SUM(B9:B15)</f>
        <v>125.1</v>
      </c>
      <c r="C16" s="146"/>
      <c r="D16" s="147"/>
      <c r="E16" s="147"/>
      <c r="F16" s="148"/>
    </row>
    <row r="17" spans="1:6" x14ac:dyDescent="0.2">
      <c r="A17" s="48"/>
      <c r="B17" s="52"/>
      <c r="C17" s="52"/>
      <c r="D17" s="52"/>
      <c r="E17" s="52"/>
      <c r="F17" s="53"/>
    </row>
    <row r="18" spans="1:6" x14ac:dyDescent="0.2">
      <c r="A18" s="48" t="s">
        <v>30</v>
      </c>
      <c r="B18" s="110"/>
      <c r="C18" s="39"/>
      <c r="D18" s="52"/>
      <c r="E18" s="52"/>
      <c r="F18" s="53"/>
    </row>
    <row r="19" spans="1:6" x14ac:dyDescent="0.2">
      <c r="A19" s="229" t="s">
        <v>63</v>
      </c>
      <c r="B19" s="230"/>
      <c r="C19" s="230"/>
      <c r="D19" s="230"/>
      <c r="E19" s="230"/>
      <c r="F19" s="231"/>
    </row>
    <row r="20" spans="1:6" x14ac:dyDescent="0.2">
      <c r="A20" s="201" t="s">
        <v>58</v>
      </c>
      <c r="B20" s="202"/>
      <c r="C20" s="202"/>
      <c r="D20" s="130"/>
      <c r="E20" s="130"/>
      <c r="F20" s="155"/>
    </row>
    <row r="21" spans="1:6" x14ac:dyDescent="0.2">
      <c r="A21" s="36" t="s">
        <v>37</v>
      </c>
      <c r="B21" s="37"/>
      <c r="C21" s="131"/>
      <c r="D21" s="130"/>
      <c r="E21" s="130"/>
      <c r="F21" s="155"/>
    </row>
    <row r="22" spans="1:6" x14ac:dyDescent="0.2">
      <c r="A22" s="36" t="s">
        <v>54</v>
      </c>
      <c r="B22" s="37"/>
      <c r="C22" s="131"/>
      <c r="D22" s="131"/>
      <c r="E22" s="131"/>
      <c r="F22" s="5"/>
    </row>
    <row r="23" spans="1:6" ht="12.75" customHeight="1" x14ac:dyDescent="0.2">
      <c r="A23" s="220" t="s">
        <v>47</v>
      </c>
      <c r="B23" s="221"/>
      <c r="C23" s="180"/>
      <c r="D23" s="180"/>
      <c r="E23" s="180"/>
      <c r="F23" s="181"/>
    </row>
    <row r="24" spans="1:6" x14ac:dyDescent="0.2">
      <c r="A24" s="130"/>
      <c r="B24" s="130"/>
      <c r="C24" s="130"/>
      <c r="D24" s="130"/>
      <c r="E24" s="130"/>
      <c r="F24" s="130"/>
    </row>
    <row r="25" spans="1:6" x14ac:dyDescent="0.2">
      <c r="A25" s="43"/>
      <c r="B25" s="43"/>
      <c r="C25" s="43"/>
      <c r="D25" s="43"/>
      <c r="E25" s="43"/>
      <c r="F25" s="43"/>
    </row>
    <row r="26" spans="1:6" x14ac:dyDescent="0.2">
      <c r="A26" s="43"/>
      <c r="B26" s="43"/>
      <c r="C26" s="43"/>
      <c r="D26" s="43"/>
      <c r="E26" s="43"/>
      <c r="F26" s="43"/>
    </row>
    <row r="27" spans="1:6" x14ac:dyDescent="0.2">
      <c r="A27" s="43"/>
      <c r="B27" s="43"/>
      <c r="C27" s="43"/>
      <c r="D27" s="43"/>
      <c r="E27" s="43"/>
      <c r="F27" s="43"/>
    </row>
    <row r="28" spans="1:6" x14ac:dyDescent="0.2">
      <c r="A28" s="43"/>
      <c r="B28" s="43"/>
      <c r="C28" s="43"/>
      <c r="D28" s="43"/>
      <c r="E28" s="43"/>
      <c r="F28" s="43"/>
    </row>
  </sheetData>
  <mergeCells count="10">
    <mergeCell ref="A23:B23"/>
    <mergeCell ref="A7:B7"/>
    <mergeCell ref="A20:C20"/>
    <mergeCell ref="A1:F1"/>
    <mergeCell ref="A6:F6"/>
    <mergeCell ref="B2:F2"/>
    <mergeCell ref="B3:F3"/>
    <mergeCell ref="B4:F4"/>
    <mergeCell ref="A5:F5"/>
    <mergeCell ref="A19:F19"/>
  </mergeCells>
  <pageMargins left="0.70866141732283472" right="0.70866141732283472" top="0.74803149606299213" bottom="0.74803149606299213" header="0.31496062992125984" footer="0.31496062992125984"/>
  <pageSetup paperSize="8" scale="85" fitToHeight="0"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zoomScaleNormal="100" workbookViewId="0">
      <selection activeCell="A7" sqref="A7"/>
    </sheetView>
  </sheetViews>
  <sheetFormatPr defaultColWidth="9.140625" defaultRowHeight="12.75" x14ac:dyDescent="0.2"/>
  <cols>
    <col min="1" max="5" width="27.5703125" style="15" customWidth="1"/>
    <col min="6" max="6" width="27.5703125" style="20" customWidth="1"/>
    <col min="7" max="16384" width="9.140625" style="17"/>
  </cols>
  <sheetData>
    <row r="1" spans="1:14" ht="36" customHeight="1" x14ac:dyDescent="0.2">
      <c r="A1" s="200" t="s">
        <v>25</v>
      </c>
      <c r="B1" s="200"/>
      <c r="C1" s="200"/>
      <c r="D1" s="200"/>
      <c r="E1" s="200"/>
      <c r="F1" s="44"/>
    </row>
    <row r="2" spans="1:14" ht="36" customHeight="1" x14ac:dyDescent="0.2">
      <c r="A2" s="21" t="s">
        <v>8</v>
      </c>
      <c r="B2" s="206" t="str">
        <f>Travel!B2</f>
        <v>Ministry for Pacific Peoples</v>
      </c>
      <c r="C2" s="206"/>
      <c r="D2" s="206"/>
      <c r="E2" s="206"/>
      <c r="F2" s="22"/>
      <c r="G2" s="22"/>
    </row>
    <row r="3" spans="1:14" ht="36" customHeight="1" x14ac:dyDescent="0.2">
      <c r="A3" s="21" t="s">
        <v>9</v>
      </c>
      <c r="B3" s="207" t="str">
        <f>Travel!B3</f>
        <v>Mac Leauanae</v>
      </c>
      <c r="C3" s="207"/>
      <c r="D3" s="207"/>
      <c r="E3" s="207"/>
      <c r="F3" s="23"/>
      <c r="G3" s="23"/>
    </row>
    <row r="4" spans="1:14" ht="36" customHeight="1" x14ac:dyDescent="0.2">
      <c r="A4" s="21" t="s">
        <v>3</v>
      </c>
      <c r="B4" s="207" t="str">
        <f>Travel!B4</f>
        <v>3 July 2017 to 30 June 2018</v>
      </c>
      <c r="C4" s="207"/>
      <c r="D4" s="207"/>
      <c r="E4" s="207"/>
      <c r="F4" s="23"/>
      <c r="G4" s="23"/>
    </row>
    <row r="5" spans="1:14" ht="36" customHeight="1" x14ac:dyDescent="0.2">
      <c r="A5" s="208" t="s">
        <v>49</v>
      </c>
      <c r="B5" s="208"/>
      <c r="C5" s="208"/>
      <c r="D5" s="208"/>
      <c r="E5" s="208"/>
      <c r="F5" s="17"/>
    </row>
    <row r="6" spans="1:14" ht="20.100000000000001" customHeight="1" x14ac:dyDescent="0.2">
      <c r="A6" s="236" t="s">
        <v>55</v>
      </c>
      <c r="B6" s="236"/>
      <c r="C6" s="236"/>
      <c r="D6" s="236"/>
      <c r="E6" s="236"/>
      <c r="F6" s="24"/>
      <c r="G6" s="24"/>
    </row>
    <row r="7" spans="1:14" ht="19.5" customHeight="1" x14ac:dyDescent="0.25">
      <c r="A7" s="196" t="s">
        <v>288</v>
      </c>
      <c r="B7" s="193"/>
      <c r="C7" s="193"/>
      <c r="D7" s="193"/>
      <c r="E7" s="194"/>
      <c r="F7" s="8"/>
    </row>
    <row r="8" spans="1:14" ht="25.5" x14ac:dyDescent="0.2">
      <c r="A8" s="191" t="s">
        <v>0</v>
      </c>
      <c r="B8" s="191" t="s">
        <v>38</v>
      </c>
      <c r="C8" s="191" t="s">
        <v>33</v>
      </c>
      <c r="D8" s="195" t="s">
        <v>120</v>
      </c>
      <c r="E8" s="191" t="s">
        <v>65</v>
      </c>
      <c r="F8" s="113"/>
    </row>
    <row r="9" spans="1:14" s="10" customFormat="1" ht="22.5" customHeight="1" x14ac:dyDescent="0.2">
      <c r="A9" s="132">
        <v>42922</v>
      </c>
      <c r="B9" s="134" t="s">
        <v>131</v>
      </c>
      <c r="C9" s="134" t="s">
        <v>132</v>
      </c>
      <c r="D9" s="133">
        <v>94</v>
      </c>
      <c r="E9" s="134" t="s">
        <v>173</v>
      </c>
      <c r="F9" s="11"/>
    </row>
    <row r="10" spans="1:14" s="10" customFormat="1" ht="22.5" customHeight="1" x14ac:dyDescent="0.2">
      <c r="A10" s="132">
        <v>42998</v>
      </c>
      <c r="B10" s="134" t="s">
        <v>133</v>
      </c>
      <c r="C10" s="134" t="s">
        <v>134</v>
      </c>
      <c r="D10" s="133">
        <v>80</v>
      </c>
      <c r="E10" s="134" t="s">
        <v>173</v>
      </c>
      <c r="F10" s="11"/>
    </row>
    <row r="11" spans="1:14" s="10" customFormat="1" ht="30" customHeight="1" x14ac:dyDescent="0.2">
      <c r="A11" s="132">
        <v>43031</v>
      </c>
      <c r="B11" s="134" t="s">
        <v>165</v>
      </c>
      <c r="C11" s="134" t="s">
        <v>174</v>
      </c>
      <c r="D11" s="133">
        <v>100</v>
      </c>
      <c r="E11" s="134" t="s">
        <v>173</v>
      </c>
      <c r="F11" s="11"/>
    </row>
    <row r="12" spans="1:14" s="10" customFormat="1" ht="22.5" customHeight="1" x14ac:dyDescent="0.2">
      <c r="A12" s="132">
        <v>43087</v>
      </c>
      <c r="B12" s="134" t="s">
        <v>175</v>
      </c>
      <c r="C12" s="134" t="s">
        <v>171</v>
      </c>
      <c r="D12" s="133">
        <v>100</v>
      </c>
      <c r="E12" s="134" t="s">
        <v>282</v>
      </c>
      <c r="F12" s="11"/>
    </row>
    <row r="13" spans="1:14" x14ac:dyDescent="0.2">
      <c r="A13" s="119"/>
      <c r="B13" s="52"/>
      <c r="C13" s="52"/>
      <c r="D13" s="120"/>
      <c r="E13" s="53"/>
      <c r="F13" s="58"/>
    </row>
    <row r="14" spans="1:14" x14ac:dyDescent="0.2">
      <c r="A14" s="71"/>
      <c r="B14" s="20"/>
      <c r="C14" s="20"/>
      <c r="D14" s="91"/>
      <c r="E14" s="149"/>
      <c r="F14" s="92"/>
      <c r="N14" s="25"/>
    </row>
    <row r="15" spans="1:14" x14ac:dyDescent="0.2">
      <c r="A15" s="50"/>
      <c r="B15" s="51"/>
      <c r="C15" s="51"/>
      <c r="D15" s="150"/>
      <c r="E15" s="151"/>
      <c r="F15" s="92"/>
    </row>
    <row r="16" spans="1:14" hidden="1" x14ac:dyDescent="0.2">
      <c r="A16" s="16"/>
      <c r="E16" s="20"/>
      <c r="F16" s="92"/>
    </row>
    <row r="17" spans="1:6" ht="33" customHeight="1" x14ac:dyDescent="0.2">
      <c r="A17" s="41" t="s">
        <v>24</v>
      </c>
      <c r="B17" s="152" t="s">
        <v>20</v>
      </c>
      <c r="C17" s="146"/>
      <c r="D17" s="171">
        <f>SUM(D9:D16)</f>
        <v>374</v>
      </c>
      <c r="E17" s="148"/>
      <c r="F17" s="58"/>
    </row>
    <row r="18" spans="1:6" x14ac:dyDescent="0.2">
      <c r="A18" s="182"/>
      <c r="B18" s="183"/>
      <c r="C18" s="52"/>
      <c r="D18" s="110"/>
      <c r="E18" s="52"/>
      <c r="F18" s="58"/>
    </row>
    <row r="19" spans="1:6" x14ac:dyDescent="0.2">
      <c r="A19" s="48" t="s">
        <v>26</v>
      </c>
      <c r="B19" s="49"/>
      <c r="C19" s="49"/>
      <c r="D19" s="49"/>
      <c r="E19" s="153"/>
      <c r="F19" s="92"/>
    </row>
    <row r="20" spans="1:6" x14ac:dyDescent="0.2">
      <c r="A20" s="201" t="s">
        <v>58</v>
      </c>
      <c r="B20" s="202"/>
      <c r="C20" s="202"/>
      <c r="D20" s="20"/>
      <c r="E20" s="149"/>
      <c r="F20" s="92"/>
    </row>
    <row r="21" spans="1:6" x14ac:dyDescent="0.2">
      <c r="A21" s="232" t="s">
        <v>50</v>
      </c>
      <c r="B21" s="233"/>
      <c r="C21" s="233"/>
      <c r="D21" s="233"/>
      <c r="E21" s="234"/>
      <c r="F21" s="114"/>
    </row>
    <row r="22" spans="1:6" x14ac:dyDescent="0.2">
      <c r="A22" s="90" t="s">
        <v>66</v>
      </c>
      <c r="B22" s="17"/>
      <c r="C22" s="17"/>
      <c r="D22" s="17"/>
      <c r="E22" s="154"/>
      <c r="F22" s="114"/>
    </row>
    <row r="23" spans="1:6" ht="26.1" customHeight="1" x14ac:dyDescent="0.2">
      <c r="A23" s="201" t="s">
        <v>64</v>
      </c>
      <c r="B23" s="202"/>
      <c r="C23" s="202"/>
      <c r="D23" s="202"/>
      <c r="E23" s="235"/>
      <c r="F23" s="114"/>
    </row>
    <row r="24" spans="1:6" x14ac:dyDescent="0.2">
      <c r="A24" s="36" t="s">
        <v>51</v>
      </c>
      <c r="B24" s="20"/>
      <c r="C24" s="20"/>
      <c r="D24" s="20"/>
      <c r="E24" s="149"/>
      <c r="F24" s="92"/>
    </row>
    <row r="25" spans="1:6" x14ac:dyDescent="0.2">
      <c r="A25" s="36" t="s">
        <v>52</v>
      </c>
      <c r="B25" s="37"/>
      <c r="C25" s="131"/>
      <c r="D25" s="131"/>
      <c r="E25" s="5"/>
      <c r="F25" s="4"/>
    </row>
    <row r="26" spans="1:6" ht="12.75" customHeight="1" x14ac:dyDescent="0.2">
      <c r="A26" s="220" t="s">
        <v>47</v>
      </c>
      <c r="B26" s="221"/>
      <c r="C26" s="180"/>
      <c r="D26" s="180"/>
      <c r="E26" s="181"/>
      <c r="F26" s="115"/>
    </row>
    <row r="27" spans="1:6" x14ac:dyDescent="0.2">
      <c r="A27" s="20"/>
      <c r="B27" s="20"/>
      <c r="C27" s="20"/>
      <c r="D27" s="20"/>
      <c r="E27" s="20"/>
      <c r="F27" s="92"/>
    </row>
    <row r="28" spans="1:6" x14ac:dyDescent="0.2">
      <c r="F28" s="92"/>
    </row>
  </sheetData>
  <mergeCells count="10">
    <mergeCell ref="A21:E21"/>
    <mergeCell ref="A26:B26"/>
    <mergeCell ref="A1:E1"/>
    <mergeCell ref="A20:C20"/>
    <mergeCell ref="A23:E23"/>
    <mergeCell ref="A6:E6"/>
    <mergeCell ref="B2:E2"/>
    <mergeCell ref="B3:E3"/>
    <mergeCell ref="B4:E4"/>
    <mergeCell ref="A5:E5"/>
  </mergeCells>
  <pageMargins left="0.70866141732283472" right="0.70866141732283472" top="0.74803149606299213" bottom="0.74803149606299213" header="0.31496062992125984" footer="0.31496062992125984"/>
  <pageSetup paperSize="8" scale="97" fitToHeight="0"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zoomScaleNormal="100" workbookViewId="0">
      <selection activeCell="A7" sqref="A7:B7"/>
    </sheetView>
  </sheetViews>
  <sheetFormatPr defaultColWidth="9.140625" defaultRowHeight="12.75" x14ac:dyDescent="0.2"/>
  <cols>
    <col min="1" max="1" width="23.5703125" style="75" customWidth="1"/>
    <col min="2" max="2" width="23.5703125" style="79" customWidth="1"/>
    <col min="3" max="5" width="27.5703125" style="6" customWidth="1"/>
    <col min="6" max="16384" width="9.140625" style="7"/>
  </cols>
  <sheetData>
    <row r="1" spans="1:5" ht="36" customHeight="1" x14ac:dyDescent="0.2">
      <c r="A1" s="200" t="s">
        <v>25</v>
      </c>
      <c r="B1" s="200"/>
      <c r="C1" s="200"/>
      <c r="D1" s="200"/>
      <c r="E1" s="200"/>
    </row>
    <row r="2" spans="1:5" ht="36" customHeight="1" x14ac:dyDescent="0.2">
      <c r="A2" s="68" t="s">
        <v>8</v>
      </c>
      <c r="B2" s="206" t="str">
        <f>Travel!B2</f>
        <v>Ministry for Pacific Peoples</v>
      </c>
      <c r="C2" s="206"/>
      <c r="D2" s="206"/>
      <c r="E2" s="206"/>
    </row>
    <row r="3" spans="1:5" ht="36" customHeight="1" x14ac:dyDescent="0.2">
      <c r="A3" s="68" t="s">
        <v>9</v>
      </c>
      <c r="B3" s="207" t="str">
        <f>Travel!B3</f>
        <v>Mac Leauanae</v>
      </c>
      <c r="C3" s="207"/>
      <c r="D3" s="207"/>
      <c r="E3" s="207"/>
    </row>
    <row r="4" spans="1:5" ht="36" customHeight="1" x14ac:dyDescent="0.2">
      <c r="A4" s="68" t="s">
        <v>3</v>
      </c>
      <c r="B4" s="207" t="str">
        <f>Travel!B4</f>
        <v>3 July 2017 to 30 June 2018</v>
      </c>
      <c r="C4" s="207"/>
      <c r="D4" s="207"/>
      <c r="E4" s="207"/>
    </row>
    <row r="5" spans="1:5" ht="36" customHeight="1" x14ac:dyDescent="0.2">
      <c r="A5" s="208" t="s">
        <v>53</v>
      </c>
      <c r="B5" s="208"/>
      <c r="C5" s="228"/>
      <c r="D5" s="228"/>
      <c r="E5" s="228"/>
    </row>
    <row r="6" spans="1:5" ht="36" customHeight="1" x14ac:dyDescent="0.2">
      <c r="A6" s="239" t="s">
        <v>287</v>
      </c>
      <c r="B6" s="236"/>
      <c r="C6" s="236"/>
      <c r="D6" s="236"/>
      <c r="E6" s="236"/>
    </row>
    <row r="7" spans="1:5" ht="19.5" customHeight="1" x14ac:dyDescent="0.25">
      <c r="A7" s="237" t="s">
        <v>6</v>
      </c>
      <c r="B7" s="238"/>
      <c r="C7" s="193"/>
      <c r="D7" s="193"/>
      <c r="E7" s="194"/>
    </row>
    <row r="8" spans="1:5" ht="25.5" x14ac:dyDescent="0.2">
      <c r="A8" s="174" t="s">
        <v>0</v>
      </c>
      <c r="B8" s="197" t="s">
        <v>108</v>
      </c>
      <c r="C8" s="191" t="s">
        <v>34</v>
      </c>
      <c r="D8" s="191" t="s">
        <v>29</v>
      </c>
      <c r="E8" s="191" t="s">
        <v>2</v>
      </c>
    </row>
    <row r="9" spans="1:5" s="159" customFormat="1" ht="30" customHeight="1" x14ac:dyDescent="0.2">
      <c r="A9" s="156">
        <v>42920</v>
      </c>
      <c r="B9" s="157">
        <v>20</v>
      </c>
      <c r="C9" s="158" t="s">
        <v>285</v>
      </c>
      <c r="D9" s="158"/>
      <c r="E9" s="158" t="s">
        <v>135</v>
      </c>
    </row>
    <row r="10" spans="1:5" ht="22.5" customHeight="1" x14ac:dyDescent="0.2">
      <c r="A10" s="132">
        <v>42927</v>
      </c>
      <c r="B10" s="133">
        <v>75</v>
      </c>
      <c r="C10" s="134" t="s">
        <v>111</v>
      </c>
      <c r="D10" s="134"/>
      <c r="E10" s="134" t="s">
        <v>135</v>
      </c>
    </row>
    <row r="11" spans="1:5" ht="22.5" customHeight="1" x14ac:dyDescent="0.2">
      <c r="A11" s="132">
        <v>42947</v>
      </c>
      <c r="B11" s="133">
        <v>41.9</v>
      </c>
      <c r="C11" s="134" t="s">
        <v>118</v>
      </c>
      <c r="D11" s="134" t="s">
        <v>118</v>
      </c>
      <c r="E11" s="134"/>
    </row>
    <row r="12" spans="1:5" ht="22.5" customHeight="1" x14ac:dyDescent="0.2">
      <c r="A12" s="132">
        <v>42978</v>
      </c>
      <c r="B12" s="133">
        <v>41.9</v>
      </c>
      <c r="C12" s="134" t="s">
        <v>118</v>
      </c>
      <c r="D12" s="134" t="s">
        <v>118</v>
      </c>
      <c r="E12" s="134"/>
    </row>
    <row r="13" spans="1:5" s="159" customFormat="1" ht="29.25" customHeight="1" x14ac:dyDescent="0.2">
      <c r="A13" s="156">
        <v>42991</v>
      </c>
      <c r="B13" s="157">
        <v>40</v>
      </c>
      <c r="C13" s="158" t="s">
        <v>110</v>
      </c>
      <c r="D13" s="158" t="s">
        <v>172</v>
      </c>
      <c r="E13" s="158" t="s">
        <v>136</v>
      </c>
    </row>
    <row r="14" spans="1:5" ht="22.5" customHeight="1" x14ac:dyDescent="0.2">
      <c r="A14" s="132">
        <v>43007</v>
      </c>
      <c r="B14" s="133">
        <v>1226.67</v>
      </c>
      <c r="C14" s="134" t="s">
        <v>281</v>
      </c>
      <c r="D14" s="134"/>
      <c r="E14" s="134"/>
    </row>
    <row r="15" spans="1:5" ht="22.5" customHeight="1" x14ac:dyDescent="0.2">
      <c r="A15" s="132">
        <v>43008</v>
      </c>
      <c r="B15" s="133">
        <v>41.9</v>
      </c>
      <c r="C15" s="134" t="s">
        <v>118</v>
      </c>
      <c r="D15" s="134" t="s">
        <v>118</v>
      </c>
      <c r="E15" s="134"/>
    </row>
    <row r="16" spans="1:5" ht="22.5" customHeight="1" x14ac:dyDescent="0.2">
      <c r="A16" s="132">
        <v>43039</v>
      </c>
      <c r="B16" s="133">
        <v>42.19</v>
      </c>
      <c r="C16" s="134" t="s">
        <v>118</v>
      </c>
      <c r="D16" s="134" t="s">
        <v>118</v>
      </c>
      <c r="E16" s="134"/>
    </row>
    <row r="17" spans="1:6" ht="22.5" customHeight="1" x14ac:dyDescent="0.2">
      <c r="A17" s="132">
        <v>43069</v>
      </c>
      <c r="B17" s="133">
        <v>76.459999999999994</v>
      </c>
      <c r="C17" s="134" t="s">
        <v>118</v>
      </c>
      <c r="D17" s="134" t="s">
        <v>118</v>
      </c>
      <c r="E17" s="134"/>
    </row>
    <row r="18" spans="1:6" ht="22.5" customHeight="1" x14ac:dyDescent="0.2">
      <c r="A18" s="132">
        <v>43100</v>
      </c>
      <c r="B18" s="133">
        <v>51.71</v>
      </c>
      <c r="C18" s="134" t="s">
        <v>118</v>
      </c>
      <c r="D18" s="134" t="s">
        <v>118</v>
      </c>
      <c r="E18" s="134"/>
    </row>
    <row r="19" spans="1:6" ht="22.5" customHeight="1" x14ac:dyDescent="0.2">
      <c r="A19" s="132">
        <v>43131</v>
      </c>
      <c r="B19" s="133">
        <f>41.9</f>
        <v>41.9</v>
      </c>
      <c r="C19" s="134" t="s">
        <v>118</v>
      </c>
      <c r="D19" s="134" t="s">
        <v>118</v>
      </c>
      <c r="E19" s="134"/>
    </row>
    <row r="20" spans="1:6" ht="22.5" customHeight="1" x14ac:dyDescent="0.2">
      <c r="A20" s="132">
        <v>43159</v>
      </c>
      <c r="B20" s="133">
        <f>44.27</f>
        <v>44.27</v>
      </c>
      <c r="C20" s="134" t="s">
        <v>118</v>
      </c>
      <c r="D20" s="134" t="s">
        <v>118</v>
      </c>
      <c r="E20" s="134"/>
    </row>
    <row r="21" spans="1:6" s="161" customFormat="1" ht="53.25" customHeight="1" x14ac:dyDescent="0.2">
      <c r="A21" s="156">
        <v>43164</v>
      </c>
      <c r="B21" s="157">
        <v>100</v>
      </c>
      <c r="C21" s="158" t="s">
        <v>110</v>
      </c>
      <c r="D21" s="158" t="s">
        <v>203</v>
      </c>
      <c r="E21" s="158" t="s">
        <v>204</v>
      </c>
      <c r="F21" s="160"/>
    </row>
    <row r="22" spans="1:6" s="161" customFormat="1" ht="42" customHeight="1" x14ac:dyDescent="0.2">
      <c r="A22" s="156">
        <v>43166</v>
      </c>
      <c r="B22" s="157">
        <v>50</v>
      </c>
      <c r="C22" s="158" t="s">
        <v>110</v>
      </c>
      <c r="D22" s="158" t="s">
        <v>205</v>
      </c>
      <c r="E22" s="158" t="s">
        <v>206</v>
      </c>
      <c r="F22" s="160"/>
    </row>
    <row r="23" spans="1:6" ht="22.5" customHeight="1" x14ac:dyDescent="0.2">
      <c r="A23" s="132">
        <v>43190</v>
      </c>
      <c r="B23" s="133">
        <f>180.87</f>
        <v>180.87</v>
      </c>
      <c r="C23" s="134" t="s">
        <v>118</v>
      </c>
      <c r="D23" s="134" t="s">
        <v>118</v>
      </c>
      <c r="E23" s="134"/>
      <c r="F23" s="90"/>
    </row>
    <row r="24" spans="1:6" ht="22.5" customHeight="1" x14ac:dyDescent="0.2">
      <c r="A24" s="132">
        <v>43220</v>
      </c>
      <c r="B24" s="133">
        <f>42.03</f>
        <v>42.03</v>
      </c>
      <c r="C24" s="134" t="s">
        <v>118</v>
      </c>
      <c r="D24" s="134" t="s">
        <v>118</v>
      </c>
      <c r="E24" s="134"/>
      <c r="F24" s="90"/>
    </row>
    <row r="25" spans="1:6" s="159" customFormat="1" ht="30" customHeight="1" x14ac:dyDescent="0.2">
      <c r="A25" s="156">
        <v>43245</v>
      </c>
      <c r="B25" s="157">
        <f>40</f>
        <v>40</v>
      </c>
      <c r="C25" s="158" t="s">
        <v>218</v>
      </c>
      <c r="D25" s="158"/>
      <c r="E25" s="158" t="s">
        <v>136</v>
      </c>
    </row>
    <row r="26" spans="1:6" ht="22.5" customHeight="1" x14ac:dyDescent="0.2">
      <c r="A26" s="132">
        <v>43251</v>
      </c>
      <c r="B26" s="133">
        <v>41.97</v>
      </c>
      <c r="C26" s="134" t="s">
        <v>118</v>
      </c>
      <c r="D26" s="134" t="s">
        <v>118</v>
      </c>
      <c r="E26" s="134"/>
      <c r="F26" s="90"/>
    </row>
    <row r="27" spans="1:6" x14ac:dyDescent="0.2">
      <c r="A27" s="132">
        <v>43281</v>
      </c>
      <c r="B27" s="133">
        <v>42.03</v>
      </c>
      <c r="C27" s="134" t="s">
        <v>118</v>
      </c>
      <c r="D27" s="134" t="s">
        <v>118</v>
      </c>
      <c r="E27" s="134"/>
      <c r="F27" s="90"/>
    </row>
    <row r="28" spans="1:6" x14ac:dyDescent="0.2">
      <c r="A28" s="162"/>
      <c r="B28" s="163"/>
      <c r="C28" s="49"/>
      <c r="D28" s="49"/>
      <c r="E28" s="153"/>
      <c r="F28" s="90"/>
    </row>
    <row r="29" spans="1:6" x14ac:dyDescent="0.2">
      <c r="A29" s="70"/>
      <c r="B29" s="86"/>
      <c r="C29" s="108"/>
      <c r="D29" s="108"/>
      <c r="E29" s="107"/>
    </row>
    <row r="30" spans="1:6" x14ac:dyDescent="0.2">
      <c r="A30" s="164"/>
      <c r="B30" s="118"/>
      <c r="C30" s="54"/>
      <c r="D30" s="54"/>
      <c r="E30" s="55"/>
    </row>
    <row r="31" spans="1:6" ht="33.75" customHeight="1" x14ac:dyDescent="0.2">
      <c r="A31" s="184" t="s">
        <v>14</v>
      </c>
      <c r="B31" s="185">
        <f>SUM(B9:B30)</f>
        <v>2240.8000000000006</v>
      </c>
      <c r="C31" s="186"/>
      <c r="D31" s="187"/>
      <c r="E31" s="188"/>
    </row>
    <row r="32" spans="1:6" ht="14.1" customHeight="1" x14ac:dyDescent="0.2">
      <c r="A32" s="189"/>
      <c r="B32" s="64"/>
      <c r="C32" s="130"/>
      <c r="D32" s="130"/>
      <c r="E32" s="130"/>
    </row>
    <row r="33" spans="1:5" x14ac:dyDescent="0.2">
      <c r="A33" s="178" t="s">
        <v>26</v>
      </c>
      <c r="B33" s="120"/>
      <c r="C33" s="52"/>
      <c r="D33" s="52"/>
      <c r="E33" s="53"/>
    </row>
    <row r="34" spans="1:5" x14ac:dyDescent="0.2">
      <c r="A34" s="201" t="s">
        <v>58</v>
      </c>
      <c r="B34" s="202"/>
      <c r="C34" s="202"/>
      <c r="D34" s="130"/>
      <c r="E34" s="155"/>
    </row>
    <row r="35" spans="1:5" ht="14.1" customHeight="1" x14ac:dyDescent="0.2">
      <c r="A35" s="72" t="s">
        <v>21</v>
      </c>
      <c r="B35" s="78"/>
      <c r="C35" s="130"/>
      <c r="D35" s="130"/>
      <c r="E35" s="155"/>
    </row>
    <row r="36" spans="1:5" x14ac:dyDescent="0.2">
      <c r="A36" s="73" t="s">
        <v>32</v>
      </c>
      <c r="B36" s="67"/>
      <c r="C36" s="131"/>
      <c r="D36" s="130"/>
      <c r="E36" s="155"/>
    </row>
    <row r="37" spans="1:5" ht="12.6" customHeight="1" x14ac:dyDescent="0.2">
      <c r="A37" s="232" t="s">
        <v>28</v>
      </c>
      <c r="B37" s="233"/>
      <c r="C37" s="233"/>
      <c r="D37" s="233"/>
      <c r="E37" s="234"/>
    </row>
    <row r="38" spans="1:5" x14ac:dyDescent="0.2">
      <c r="A38" s="73" t="s">
        <v>54</v>
      </c>
      <c r="B38" s="67"/>
      <c r="C38" s="131"/>
      <c r="D38" s="131"/>
      <c r="E38" s="5"/>
    </row>
    <row r="39" spans="1:5" ht="12.75" customHeight="1" x14ac:dyDescent="0.2">
      <c r="A39" s="220" t="s">
        <v>47</v>
      </c>
      <c r="B39" s="221"/>
      <c r="C39" s="180"/>
      <c r="D39" s="180"/>
      <c r="E39" s="181"/>
    </row>
    <row r="40" spans="1:5" x14ac:dyDescent="0.2">
      <c r="A40" s="189"/>
      <c r="B40" s="190"/>
      <c r="C40" s="130"/>
      <c r="D40" s="130"/>
      <c r="E40" s="130"/>
    </row>
    <row r="41" spans="1:5" x14ac:dyDescent="0.2">
      <c r="A41" s="74"/>
      <c r="B41" s="76"/>
      <c r="C41" s="9"/>
      <c r="D41" s="9"/>
      <c r="E41" s="35"/>
    </row>
    <row r="42" spans="1:5" x14ac:dyDescent="0.2">
      <c r="A42" s="74"/>
      <c r="B42" s="76"/>
      <c r="C42" s="9"/>
      <c r="D42" s="9"/>
      <c r="E42" s="35"/>
    </row>
    <row r="43" spans="1:5" x14ac:dyDescent="0.2">
      <c r="A43" s="74"/>
      <c r="B43" s="76"/>
      <c r="C43" s="9"/>
      <c r="D43" s="9"/>
      <c r="E43" s="35"/>
    </row>
    <row r="44" spans="1:5" x14ac:dyDescent="0.2">
      <c r="A44" s="74"/>
      <c r="B44" s="76"/>
      <c r="C44" s="9"/>
      <c r="D44" s="9"/>
      <c r="E44" s="35"/>
    </row>
    <row r="45" spans="1:5" x14ac:dyDescent="0.2">
      <c r="A45" s="74"/>
      <c r="B45" s="76"/>
      <c r="C45" s="35"/>
      <c r="D45" s="35"/>
      <c r="E45" s="35"/>
    </row>
    <row r="46" spans="1:5" x14ac:dyDescent="0.2">
      <c r="A46" s="74"/>
      <c r="B46" s="76"/>
      <c r="C46" s="35"/>
      <c r="D46" s="35"/>
      <c r="E46" s="35"/>
    </row>
  </sheetData>
  <mergeCells count="10">
    <mergeCell ref="A39:B39"/>
    <mergeCell ref="A37:E37"/>
    <mergeCell ref="A1:E1"/>
    <mergeCell ref="A34:C34"/>
    <mergeCell ref="A7:B7"/>
    <mergeCell ref="B2:E2"/>
    <mergeCell ref="B3:E3"/>
    <mergeCell ref="B4:E4"/>
    <mergeCell ref="A6:E6"/>
    <mergeCell ref="A5:E5"/>
  </mergeCells>
  <pageMargins left="0.70866141732283472" right="0.70866141732283472" top="0.74803149606299213" bottom="0.74803149606299213" header="0.31496062992125984" footer="0.31496062992125984"/>
  <pageSetup paperSize="8" fitToHeight="0" orientation="portrait" r:id="rId1"/>
  <headerFooter alignWithMargins="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aselineUpdatePeriod xmlns="07dc393d-3a03-4b25-a457-206cbde8239b" xsi:nil="true"/>
    <C3TopicNote xmlns="01be4277-2979-4a68-876d-b92b25fceece">
      <Terms xmlns="http://schemas.microsoft.com/office/infopath/2007/PartnerControls">
        <TermInfo xmlns="http://schemas.microsoft.com/office/infopath/2007/PartnerControls">
          <TermName xmlns="http://schemas.microsoft.com/office/infopath/2007/PartnerControls">Chief Executives Expenditure</TermName>
          <TermId xmlns="http://schemas.microsoft.com/office/infopath/2007/PartnerControls">8547f6a5-fd0d-45f1-82e7-2c5b564743ab</TermId>
        </TermInfo>
      </Terms>
    </C3TopicNote>
    <FinancialMonth xmlns="07dc393d-3a03-4b25-a457-206cbde8239b" xsi:nil="true"/>
    <TaxCatchAll xmlns="07dc393d-3a03-4b25-a457-206cbde8239b">
      <Value>1</Value>
      <Value>321</Value>
    </TaxCatchAll>
    <FinancialYear xmlns="07dc393d-3a03-4b25-a457-206cbde8239b">2017 - 2018</FinancialYear>
    <TaxKeywordTaxHTField xmlns="07dc393d-3a03-4b25-a457-206cbde8239b">
      <Terms xmlns="http://schemas.microsoft.com/office/infopath/2007/PartnerControls"/>
    </TaxKeywordTaxHTField>
    <j42e8f5616c24cb895c100df41791e8c xmlns="07dc393d-3a03-4b25-a457-206cbde8239b">
      <Terms xmlns="http://schemas.microsoft.com/office/infopath/2007/PartnerControls">
        <TermInfo xmlns="http://schemas.microsoft.com/office/infopath/2007/PartnerControls">
          <TermName xmlns="http://schemas.microsoft.com/office/infopath/2007/PartnerControls">IN-CONFIDENCE</TermName>
          <TermId xmlns="http://schemas.microsoft.com/office/infopath/2007/PartnerControls">813244d8-7a95-46fb-9bb6-3911b2b5f475</TermId>
        </TermInfo>
      </Terms>
    </j42e8f5616c24cb895c100df41791e8c>
    <_dlc_DocId xmlns="07dc393d-3a03-4b25-a457-206cbde8239b">CORP-79-221</_dlc_DocId>
    <_dlc_DocIdUrl xmlns="07dc393d-3a03-4b25-a457-206cbde8239b">
      <Url>https://vakapuna.cohesion.net.nz/sites/CO/FIN/_layouts/15/DocIdRedir.aspx?ID=CORP-79-221</Url>
      <Description>CORP-79-221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xcel Spreadsheet" ma:contentTypeID="0x0101005496552013C0BA46BE88192D5C6EB20B009CDED344C2374474AE96CC935068FE71009D0EA434559FA449BC6954AFA7B43919" ma:contentTypeVersion="12" ma:contentTypeDescription="Create a new Excel Spreadsheet" ma:contentTypeScope="" ma:versionID="d70b42d844074fa889ec5b606709d854">
  <xsd:schema xmlns:xsd="http://www.w3.org/2001/XMLSchema" xmlns:xs="http://www.w3.org/2001/XMLSchema" xmlns:p="http://schemas.microsoft.com/office/2006/metadata/properties" xmlns:ns2="07dc393d-3a03-4b25-a457-206cbde8239b" xmlns:ns4="01be4277-2979-4a68-876d-b92b25fceece" targetNamespace="http://schemas.microsoft.com/office/2006/metadata/properties" ma:root="true" ma:fieldsID="f361498b8570fd75e430bcd0845042b9" ns2:_="" ns4:_="">
    <xsd:import namespace="07dc393d-3a03-4b25-a457-206cbde8239b"/>
    <xsd:import namespace="01be4277-2979-4a68-876d-b92b25fceece"/>
    <xsd:element name="properties">
      <xsd:complexType>
        <xsd:sequence>
          <xsd:element name="documentManagement">
            <xsd:complexType>
              <xsd:all>
                <xsd:element ref="ns2:FinancialYear" minOccurs="0"/>
                <xsd:element ref="ns2:FinancialMonth" minOccurs="0"/>
                <xsd:element ref="ns2:BaselineUpdatePeriod" minOccurs="0"/>
                <xsd:element ref="ns4:C3TopicNote" minOccurs="0"/>
                <xsd:element ref="ns2:TaxKeywordTaxHTField" minOccurs="0"/>
                <xsd:element ref="ns2:TaxCatchAll" minOccurs="0"/>
                <xsd:element ref="ns2:TaxCatchAllLabel" minOccurs="0"/>
                <xsd:element ref="ns2:_dlc_DocId" minOccurs="0"/>
                <xsd:element ref="ns2:_dlc_DocIdUrl" minOccurs="0"/>
                <xsd:element ref="ns2:_dlc_DocIdPersistId" minOccurs="0"/>
                <xsd:element ref="ns2:j42e8f5616c24cb895c100df41791e8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c393d-3a03-4b25-a457-206cbde8239b" elementFormDefault="qualified">
    <xsd:import namespace="http://schemas.microsoft.com/office/2006/documentManagement/types"/>
    <xsd:import namespace="http://schemas.microsoft.com/office/infopath/2007/PartnerControls"/>
    <xsd:element name="FinancialYear" ma:index="2" nillable="true" ma:displayName="Financial Year" ma:format="Dropdown" ma:internalName="FinancialYear">
      <xsd:simpleType>
        <xsd:restriction base="dms:Choice">
          <xsd:enumeration value="2011 - 2012"/>
          <xsd:enumeration value="2012 - 2013"/>
          <xsd:enumeration value="2013 - 2014"/>
          <xsd:enumeration value="2014 - 2015"/>
          <xsd:enumeration value="2015 - 2016"/>
          <xsd:enumeration value="2016 - 2017"/>
          <xsd:enumeration value="2017 - 2018"/>
          <xsd:enumeration value="2018 - 2019"/>
          <xsd:enumeration value="2019 - 2020"/>
          <xsd:enumeration value="2020 - 2021"/>
          <xsd:enumeration value="2021 - 2022"/>
          <xsd:enumeration value="2022 - 2023"/>
          <xsd:enumeration value="2023 - 2024"/>
          <xsd:enumeration value="2024 - 2025"/>
          <xsd:enumeration value="2025 - 2026"/>
          <xsd:enumeration value="2026 - 2027"/>
          <xsd:enumeration value="2027 - 2028"/>
          <xsd:enumeration value="2028 - 2029"/>
          <xsd:enumeration value="2029 - 2030"/>
        </xsd:restriction>
      </xsd:simpleType>
    </xsd:element>
    <xsd:element name="FinancialMonth" ma:index="3" nillable="true" ma:displayName="Financial Month" ma:format="Dropdown" ma:internalName="FinancialMonth">
      <xsd:simpleType>
        <xsd:restriction base="dms:Choice">
          <xsd:enumeration value="01 July"/>
          <xsd:enumeration value="02 August"/>
          <xsd:enumeration value="03 September"/>
          <xsd:enumeration value="04 October"/>
          <xsd:enumeration value="05 November"/>
          <xsd:enumeration value="06 December"/>
          <xsd:enumeration value="07 January"/>
          <xsd:enumeration value="08 February"/>
          <xsd:enumeration value="09 March"/>
          <xsd:enumeration value="10 April"/>
          <xsd:enumeration value="11 May"/>
          <xsd:enumeration value="12 June"/>
        </xsd:restriction>
      </xsd:simpleType>
    </xsd:element>
    <xsd:element name="BaselineUpdatePeriod" ma:index="5" nillable="true" ma:displayName="Baseline Update Period" ma:format="Dropdown" ma:internalName="BaselineUpdatePeriod">
      <xsd:simpleType>
        <xsd:restriction base="dms:Choice">
          <xsd:enumeration value="MBU"/>
          <xsd:enumeration value="OBU"/>
        </xsd:restriction>
      </xsd:simpleType>
    </xsd:element>
    <xsd:element name="TaxKeywordTaxHTField" ma:index="11" nillable="true" ma:taxonomy="true" ma:internalName="TaxKeywordTaxHTField" ma:taxonomyFieldName="TaxKeyword" ma:displayName="Enterprise Keywords" ma:fieldId="{23f27201-bee3-471e-b2e7-b64fd8b7ca38}" ma:taxonomyMulti="true" ma:sspId="04e47b6c-464d-4e7d-902e-5892bc9a9e0d"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8b42a0c1-6653-4e4b-a082-c3106d1920a8}" ma:internalName="TaxCatchAll" ma:showField="CatchAllData" ma:web="07dc393d-3a03-4b25-a457-206cbde8239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8b42a0c1-6653-4e4b-a082-c3106d1920a8}" ma:internalName="TaxCatchAllLabel" ma:readOnly="true" ma:showField="CatchAllDataLabel" ma:web="07dc393d-3a03-4b25-a457-206cbde8239b">
      <xsd:complexType>
        <xsd:complexContent>
          <xsd:extension base="dms:MultiChoiceLookup">
            <xsd:sequence>
              <xsd:element name="Value" type="dms:Lookup" maxOccurs="unbounded" minOccurs="0" nillable="true"/>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j42e8f5616c24cb895c100df41791e8c" ma:index="17" ma:taxonomy="true" ma:internalName="j42e8f5616c24cb895c100df41791e8c" ma:taxonomyFieldName="SecurityClassification" ma:displayName="Security Classification" ma:default="1;#IN-CONFIDENCE|813244d8-7a95-46fb-9bb6-3911b2b5f475" ma:fieldId="{342e8f56-16c2-4cb8-95c1-00df41791e8c}" ma:sspId="04e47b6c-464d-4e7d-902e-5892bc9a9e0d" ma:termSetId="715adefd-8f61-4820-ac22-81d15882491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default="" ma:fieldId="{6a3fe89f-a6dd-4490-a9c1-3ef38d67b8c7}" ma:sspId="04e47b6c-464d-4e7d-902e-5892bc9a9e0d" ma:termSetId="9ec36a67-a3f5-4ee6-8af0-7f9f61d97e46" ma:anchorId="70f13a71-f769-4a02-b27c-e3c91c0c626e"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5E7D71-ACBE-4D4A-A65E-CB60AFA901B7}">
  <ds:schemaRefs>
    <ds:schemaRef ds:uri="http://schemas.microsoft.com/sharepoint/v3/contenttype/forms"/>
  </ds:schemaRefs>
</ds:datastoreItem>
</file>

<file path=customXml/itemProps2.xml><?xml version="1.0" encoding="utf-8"?>
<ds:datastoreItem xmlns:ds="http://schemas.openxmlformats.org/officeDocument/2006/customXml" ds:itemID="{6C0F94E4-BDC2-4FE3-A5E1-F76EC47D415C}">
  <ds:schemaRefs>
    <ds:schemaRef ds:uri="01be4277-2979-4a68-876d-b92b25fceece"/>
    <ds:schemaRef ds:uri="http://purl.org/dc/dcmitype/"/>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7dc393d-3a03-4b25-a457-206cbde8239b"/>
  </ds:schemaRefs>
</ds:datastoreItem>
</file>

<file path=customXml/itemProps3.xml><?xml version="1.0" encoding="utf-8"?>
<ds:datastoreItem xmlns:ds="http://schemas.openxmlformats.org/officeDocument/2006/customXml" ds:itemID="{08677C47-DD7D-4E19-835C-2AF3EB06682B}">
  <ds:schemaRefs>
    <ds:schemaRef ds:uri="http://schemas.microsoft.com/sharepoint/events"/>
  </ds:schemaRefs>
</ds:datastoreItem>
</file>

<file path=customXml/itemProps4.xml><?xml version="1.0" encoding="utf-8"?>
<ds:datastoreItem xmlns:ds="http://schemas.openxmlformats.org/officeDocument/2006/customXml" ds:itemID="{945451B0-E934-4A7A-8BCB-BCABB3EEA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c393d-3a03-4b25-a457-206cbde8239b"/>
    <ds:schemaRef ds:uri="01be4277-2979-4a68-876d-b92b25fcee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2017-06-13T23:11:03Z</dcterms:created>
  <dcterms:modified xsi:type="dcterms:W3CDTF">2018-07-31T01:09:12Z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0x0101005496552013C0BA46BE88192D5C6EB20B009CDED344C2374474AE96CC935068FE71009D0EA434559FA449BC6954AFA7B43919</vt:lpwstr>
  </property>
  <property fmtid="{D5CDD505-2E9C-101B-9397-08002B2CF9AE}" pid="3" name="_dlc_DocIdItemGuid">
    <vt:lpwstr>20af8673-4a41-4b34-b5ce-606ed05ce89b</vt:lpwstr>
  </property>
  <property fmtid="{D5CDD505-2E9C-101B-9397-08002B2CF9AE}" pid="4" name="TaxKeyword">
    <vt:lpwstr/>
  </property>
  <property fmtid="{D5CDD505-2E9C-101B-9397-08002B2CF9AE}" pid="5" name="SecurityClassification">
    <vt:lpwstr>1;#IN-CONFIDENCE|813244d8-7a95-46fb-9bb6-3911b2b5f475</vt:lpwstr>
  </property>
  <property fmtid="{D5CDD505-2E9C-101B-9397-08002B2CF9AE}" pid="6" name="C3Topic">
    <vt:lpwstr>321;#Chief Executives Expenditure|8547f6a5-fd0d-45f1-82e7-2c5b564743ab</vt:lpwstr>
  </property>
  <property fmtid="{D5CDD505-2E9C-101B-9397-08002B2CF9AE}" pid="7" name="RecordPoint_ActiveItemUniqueId">
    <vt:lpwstr>{59e52a5f-9f78-4af6-90f3-c96cf20d0e58}</vt:lpwstr>
  </property>
  <property fmtid="{D5CDD505-2E9C-101B-9397-08002B2CF9AE}" pid="8" name="RecordPoint_WorkflowType">
    <vt:lpwstr>ActiveSubmitStub</vt:lpwstr>
  </property>
  <property fmtid="{D5CDD505-2E9C-101B-9397-08002B2CF9AE}" pid="9" name="RecordPoint_ActiveItemSiteId">
    <vt:lpwstr>{830bf0ca-082a-4a99-88dd-595355677767}</vt:lpwstr>
  </property>
  <property fmtid="{D5CDD505-2E9C-101B-9397-08002B2CF9AE}" pid="10" name="RecordPoint_ActiveItemListId">
    <vt:lpwstr>{4238fb12-4928-4587-96ba-293d68913c61}</vt:lpwstr>
  </property>
  <property fmtid="{D5CDD505-2E9C-101B-9397-08002B2CF9AE}" pid="11" name="RecordPoint_ActiveItemWebId">
    <vt:lpwstr>{d383b079-dd06-4aff-8d2a-e5da729d94dc}</vt:lpwstr>
  </property>
  <property fmtid="{D5CDD505-2E9C-101B-9397-08002B2CF9AE}" pid="12" name="RecordPoint_RecordNumberSubmitted">
    <vt:lpwstr>R0000029542</vt:lpwstr>
  </property>
  <property fmtid="{D5CDD505-2E9C-101B-9397-08002B2CF9AE}" pid="13" name="RecordPoint_SubmissionCompleted">
    <vt:lpwstr>2018-07-23T18:36:56.3627752+12:00</vt:lpwstr>
  </property>
  <property fmtid="{D5CDD505-2E9C-101B-9397-08002B2CF9AE}" pid="14" name="RecordPoint_SubmissionDate">
    <vt:lpwstr/>
  </property>
  <property fmtid="{D5CDD505-2E9C-101B-9397-08002B2CF9AE}" pid="15" name="RecordPoint_ActiveItemMoved">
    <vt:lpwstr/>
  </property>
  <property fmtid="{D5CDD505-2E9C-101B-9397-08002B2CF9AE}" pid="16" name="RecordPoint_RecordFormat">
    <vt:lpwstr/>
  </property>
</Properties>
</file>