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T:\Finance\Month End\2019-2020\CE Expenses\"/>
    </mc:Choice>
  </mc:AlternateContent>
  <xr:revisionPtr revIDLastSave="0" documentId="13_ncr:1_{034BE150-3FCA-4908-8E29-1A8903233531}" xr6:coauthVersionLast="45" xr6:coauthVersionMax="45" xr10:uidLastSave="{00000000-0000-0000-0000-000000000000}"/>
  <bookViews>
    <workbookView xWindow="-98" yWindow="-98" windowWidth="20715" windowHeight="13276"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4" i="1" l="1"/>
  <c r="B120" i="1"/>
  <c r="B119" i="1"/>
  <c r="B118" i="1"/>
  <c r="B103" i="1"/>
  <c r="B102" i="1"/>
  <c r="B100" i="1"/>
  <c r="B99" i="1"/>
  <c r="B98" i="1"/>
  <c r="B96" i="1"/>
  <c r="B95" i="1"/>
  <c r="B94" i="1"/>
  <c r="B92" i="1"/>
  <c r="B90" i="1"/>
  <c r="B88" i="1"/>
  <c r="B87" i="1"/>
  <c r="B85" i="1"/>
  <c r="B82" i="1"/>
  <c r="B80" i="1"/>
  <c r="B78" i="1"/>
  <c r="B77" i="1"/>
  <c r="B76" i="1"/>
  <c r="B74" i="1"/>
  <c r="B72" i="1"/>
  <c r="B71" i="1"/>
  <c r="B68" i="1"/>
  <c r="B66" i="1"/>
  <c r="B65" i="1"/>
  <c r="B63" i="1"/>
  <c r="B57" i="1"/>
  <c r="B56" i="1"/>
  <c r="B55" i="1"/>
  <c r="B54" i="1"/>
  <c r="B52" i="1"/>
  <c r="B51" i="1"/>
  <c r="B50" i="1"/>
  <c r="B47" i="1"/>
  <c r="B46" i="1"/>
  <c r="B45" i="1"/>
  <c r="B44" i="1"/>
  <c r="B42" i="1"/>
  <c r="B41" i="1"/>
  <c r="B40" i="1"/>
  <c r="B39" i="1"/>
  <c r="B36" i="1"/>
  <c r="B35" i="1"/>
  <c r="B34" i="1"/>
  <c r="B33" i="1"/>
  <c r="B32" i="1"/>
  <c r="B31" i="1"/>
  <c r="B30" i="1"/>
  <c r="B29" i="1"/>
  <c r="B28" i="1"/>
  <c r="D25" i="4" l="1"/>
  <c r="C25" i="3"/>
  <c r="C25" i="2"/>
  <c r="C112" i="1"/>
  <c r="C137"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137" i="1" s="1"/>
  <c r="F56" i="13"/>
  <c r="D112" i="1" s="1"/>
  <c r="F55" i="13"/>
  <c r="D22" i="1" s="1"/>
  <c r="C13" i="13"/>
  <c r="C12" i="13"/>
  <c r="C11" i="13"/>
  <c r="C16" i="13" l="1"/>
  <c r="C17" i="13"/>
  <c r="B5" i="4" l="1"/>
  <c r="B4" i="4"/>
  <c r="B5" i="3"/>
  <c r="B4" i="3"/>
  <c r="B5" i="2"/>
  <c r="B4" i="2"/>
  <c r="B5" i="1"/>
  <c r="B4" i="1"/>
  <c r="C15" i="13" l="1"/>
  <c r="F12" i="13" l="1"/>
  <c r="C25" i="4"/>
  <c r="F11" i="13" s="1"/>
  <c r="F13" i="13" l="1"/>
  <c r="B137" i="1"/>
  <c r="B17" i="13" s="1"/>
  <c r="B112" i="1"/>
  <c r="B16" i="13" s="1"/>
  <c r="B22" i="1"/>
  <c r="B15" i="13" s="1"/>
  <c r="B25" i="3" l="1"/>
  <c r="B13" i="13" s="1"/>
  <c r="B25" i="2"/>
  <c r="B12" i="13" s="1"/>
  <c r="B11" i="13" l="1"/>
  <c r="B1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1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<sst xmlns="http://schemas.openxmlformats.org/spreadsheetml/2006/main" count="459" uniqueCount="239">
  <si>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</si>
  <si>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</si>
  <si>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</si>
  <si>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</si>
  <si>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</si>
  <si>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</si>
  <si>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</si>
  <si>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</si>
  <si>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</si>
  <si>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</si>
  <si>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</si>
  <si>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</si>
  <si>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</si>
  <si>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</si>
  <si>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</si>
  <si>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</si>
  <si>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</si>
  <si>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</si>
  <si>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</si>
  <si>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</si>
  <si>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</si>
  <si>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</si>
  <si>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</si>
  <si>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</si>
  <si>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</si>
  <si>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</si>
  <si>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</si>
  <si>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</si>
  <si>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</si>
  <si>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</si>
  <si>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</si>
  <si>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</si>
  <si>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</si>
  <si>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</si>
  <si>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</si>
  <si>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</si>
  <si>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</si>
  <si>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</si>
  <si>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</si>
  <si>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</si>
  <si>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</si>
  <si>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</si>
  <si>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</si>
  <si>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</si>
  <si>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</si>
  <si>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</si>
  <si>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</si>
  <si>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</si>
  <si>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</si>
  <si>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</si>
  <si>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</si>
  <si>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</si>
  <si>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</si>
  <si>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</si>
  <si>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</si>
  <si>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</si>
  <si>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</si>
  <si>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</si>
  <si>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</si>
  <si>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</si>
  <si>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</si>
  <si>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</si>
  <si>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</si>
  <si>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</si>
  <si>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</si>
  <si>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</si>
  <si>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</si>
  <si>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</si>
  <si>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</si>
  <si>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</si>
  <si>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</si>
  <si>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</si>
  <si>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</si>
  <si>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</si>
  <si>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</si>
  <si>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</si>
  <si>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</si>
  <si>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</si>
  <si>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</si>
  <si>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</si>
  <si>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</si>
  <si>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</si>
  <si>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</si>
  <si>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</si>
  <si>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</si>
  <si>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</si>
  <si>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</si>
  <si>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</si>
  <si>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</si>
  <si>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</si>
  <si>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</si>
  <si>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</si>
  <si>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</si>
  <si>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</si>
  <si>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</si>
  <si>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</si>
  <si>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</si>
  <si>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</si>
  <si>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</si>
  <si>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</si>
  <si>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</si>
  <si>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</si>
  <si>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</si>
  <si>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</si>
  <si>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</si>
  <si>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</si>
  <si>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</si>
  <si>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</si>
  <si>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</si>
  <si>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</si>
  <si>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</si>
  <si>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</si>
  <si>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</si>
  <si>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</si>
  <si>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</si>
  <si>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</si>
  <si>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</si>
  <si>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</si>
  <si>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</si>
  <si>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</si>
  <si>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Various</t>
  </si>
  <si>
    <t>6 Invitations to functions</t>
  </si>
  <si>
    <t>1 Invitation to function</t>
  </si>
  <si>
    <t>Deloittes</t>
  </si>
  <si>
    <t>Mobile phone costs</t>
  </si>
  <si>
    <t xml:space="preserve">Hosting invitees for the Festival for the Future </t>
  </si>
  <si>
    <t>Talanoa and tea for 40 invitees</t>
  </si>
  <si>
    <t>Wellington</t>
  </si>
  <si>
    <t xml:space="preserve">Blue Carrot 102140 </t>
  </si>
  <si>
    <t>Meeting with Statistics New Zealand and local Pacific researchers</t>
  </si>
  <si>
    <t xml:space="preserve">Morning tea </t>
  </si>
  <si>
    <t>Auckland</t>
  </si>
  <si>
    <t>Vista café 428449</t>
  </si>
  <si>
    <t xml:space="preserve">Meeting with Community Group </t>
  </si>
  <si>
    <t>Lunch</t>
  </si>
  <si>
    <t>CE Mastercard ML20191127 November 2019</t>
  </si>
  <si>
    <t>Meeting with external Community representative</t>
  </si>
  <si>
    <t xml:space="preserve">Coffee meeting </t>
  </si>
  <si>
    <t xml:space="preserve">Sterling 0588 </t>
  </si>
  <si>
    <t xml:space="preserve">Meeting with External providers </t>
  </si>
  <si>
    <t xml:space="preserve">Lunch </t>
  </si>
  <si>
    <t>CE Mastercard ML20200227 February 2020</t>
  </si>
  <si>
    <t xml:space="preserve">Meeting with Minister </t>
  </si>
  <si>
    <t xml:space="preserve">Breakfast meeting </t>
  </si>
  <si>
    <t>CE Mastercard 20200327 March 2020 - exclude?</t>
  </si>
  <si>
    <t>CE Mastercard ML20200628 June 2020</t>
  </si>
  <si>
    <t>No International Travel to disclose for this period</t>
  </si>
  <si>
    <t>12 to 13 July 2019</t>
  </si>
  <si>
    <t>02 to 03 August 2019</t>
  </si>
  <si>
    <t>15 to 18 August 2019</t>
  </si>
  <si>
    <t>19 to 20 August 2019</t>
  </si>
  <si>
    <t>27 to 29 September 2019</t>
  </si>
  <si>
    <t>03 to 05 October 2019</t>
  </si>
  <si>
    <t>4 to 5 October 2019</t>
  </si>
  <si>
    <t>07 to 11 November 2020</t>
  </si>
  <si>
    <t>14 to 18 November 2019</t>
  </si>
  <si>
    <t>15 to 16 November 2019</t>
  </si>
  <si>
    <t>06 to 09 December 2019</t>
  </si>
  <si>
    <t>17 to 18 December 2019</t>
  </si>
  <si>
    <t>12 to 14 March 2020</t>
  </si>
  <si>
    <t>21 to 30 March 2020</t>
  </si>
  <si>
    <t>19 to 21 June 2020</t>
  </si>
  <si>
    <t>Wanganui Regional Fono Tuli takes Flight</t>
  </si>
  <si>
    <t>Rental vehicle</t>
  </si>
  <si>
    <t>Wellington/Wanganui return</t>
  </si>
  <si>
    <t>Accommodation</t>
  </si>
  <si>
    <t>Wanganui</t>
  </si>
  <si>
    <t>Meeting with senior staff member</t>
  </si>
  <si>
    <t xml:space="preserve">Airfare Auckland/Wellington return </t>
  </si>
  <si>
    <t>Waikato Regional Pacific Employment Support Service providers announcement</t>
  </si>
  <si>
    <t>Taxi to Wellington Airport</t>
  </si>
  <si>
    <t>Airfare Wellington/Hamilton return</t>
  </si>
  <si>
    <t>Palmerston North Regional Fono Tuli Takes Flight</t>
  </si>
  <si>
    <t>Wellington/Palmerston North return</t>
  </si>
  <si>
    <t>Accommodation and breakfast</t>
  </si>
  <si>
    <t>Palmerston North</t>
  </si>
  <si>
    <t>Meetings with Pasifika Futures and Pacific Business Trust</t>
  </si>
  <si>
    <t>Airfare Wellington/Auckland return</t>
  </si>
  <si>
    <t>Taxi to Auckland Office</t>
  </si>
  <si>
    <t>Taxi to Auckland Airport</t>
  </si>
  <si>
    <t>Taxi from Wellington Airport</t>
  </si>
  <si>
    <t>Tauranga Regional Fono Tuli takes Flight</t>
  </si>
  <si>
    <t>Airfare Wellington/Tauranga return</t>
  </si>
  <si>
    <t>Tauranga</t>
  </si>
  <si>
    <t>Auckland Regional Stakeholder meetings and presenting to Massey High School Pasifika/Maori students</t>
  </si>
  <si>
    <t>Wellington Airport parking</t>
  </si>
  <si>
    <t xml:space="preserve">Pacific Cooperation Broadcasting Limited 2.0 Channel Service launch </t>
  </si>
  <si>
    <t xml:space="preserve">Parking </t>
  </si>
  <si>
    <t xml:space="preserve">Tuvalu Language Week Launch in Auckland </t>
  </si>
  <si>
    <t xml:space="preserve">Taxi from Wellington Airport </t>
  </si>
  <si>
    <t>Tupu Aotearoa Dunedin and Oamaru, and National Fiji Language Week launch in Auckland</t>
  </si>
  <si>
    <t>Airfare Wellington/Dunedin/Christchurch/Auckland</t>
  </si>
  <si>
    <t xml:space="preserve">Taxi from Dunedin Airport to Central Dunedin </t>
  </si>
  <si>
    <t>Dunedin</t>
  </si>
  <si>
    <t>Dinner</t>
  </si>
  <si>
    <t>Christchurch</t>
  </si>
  <si>
    <t>Breakfast</t>
  </si>
  <si>
    <t>Auckland Regional Stakeholder meeetings and attending Sunpix Awards</t>
  </si>
  <si>
    <t xml:space="preserve">Taxi from  Wellington Airport </t>
  </si>
  <si>
    <t>Working from Auckland office  and attending Tokoroa Regional Fono Tuli Takes Flight</t>
  </si>
  <si>
    <t>Taxi from Auckland Airport</t>
  </si>
  <si>
    <t>Airfare Auckland/Rotorua return</t>
  </si>
  <si>
    <t xml:space="preserve">Rental vehicle </t>
  </si>
  <si>
    <t>Rotorua/Tokoroa return</t>
  </si>
  <si>
    <t>Rotorua</t>
  </si>
  <si>
    <t>Tupu Aotearoa Hawkes Bay Collaboration signing</t>
  </si>
  <si>
    <t>Airfare Wellington/Napier/Auckland/Wellington</t>
  </si>
  <si>
    <t>Lalanga Fou Languages and High Tech Fono</t>
  </si>
  <si>
    <t>Airfare Wellington/Auckland/Wellington</t>
  </si>
  <si>
    <t>Taxi Auckland Airport to Mangere</t>
  </si>
  <si>
    <t>Pacific Business Trust meeting</t>
  </si>
  <si>
    <t>Auckland Regional Stakeholder meeting and working from Auckland Office</t>
  </si>
  <si>
    <t>Airfare Auckland/Wellington return</t>
  </si>
  <si>
    <t>Parking</t>
  </si>
  <si>
    <t xml:space="preserve">Auckland Metro providers - Collaboration agreement signing </t>
  </si>
  <si>
    <t>Wellington Airport carparking</t>
  </si>
  <si>
    <t>Toloa Awards Ceremony</t>
  </si>
  <si>
    <t xml:space="preserve">Meetings with Pacific Business Trust and Pacific Partners </t>
  </si>
  <si>
    <t xml:space="preserve">COVID-19 Pacific Community meeting </t>
  </si>
  <si>
    <t>Taxi from  Wellington Airport</t>
  </si>
  <si>
    <t xml:space="preserve">COVID-19 Pacific Church Leaders meetings </t>
  </si>
  <si>
    <t xml:space="preserve">Attending ASB Polyfest and other community events - events cancelled due to COVID-19 but only part of the ticket able to be refunded </t>
  </si>
  <si>
    <t>Pacific Strategy meeting and meetings with Pacific Business Trust and other Pacific partners, and meeting with the Minister</t>
  </si>
  <si>
    <t>Population agency meeting</t>
  </si>
  <si>
    <t>Off-site Tautua meeting</t>
  </si>
  <si>
    <t>Meetings</t>
  </si>
  <si>
    <t>Spirit of Service Awards</t>
  </si>
  <si>
    <t xml:space="preserve">Pacific Public Service Commissioners Conference 2019 </t>
  </si>
  <si>
    <t>Taxi home after Conference</t>
  </si>
  <si>
    <t>Young Enterprise National Awards</t>
  </si>
  <si>
    <t>Meeting with Minister</t>
  </si>
  <si>
    <t xml:space="preserve">Taxi </t>
  </si>
  <si>
    <t>Kau Tuli presentation, morning session</t>
  </si>
  <si>
    <t>Kau Tuli presentation, afternoon session</t>
  </si>
  <si>
    <t>Policy Retreat</t>
  </si>
  <si>
    <t>Policy Planning</t>
  </si>
  <si>
    <t>Ministry for Pacific Peoples</t>
  </si>
  <si>
    <t>Laulu Mac Leauanae</t>
  </si>
  <si>
    <t>Financial Controller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</si>
</sst>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11"/>
      <color rgb="FFFF0000"/>
      <name val="Calibri"/>
      <family val="2"/>
      <scheme val="minor"/>
    </font>
    <font>
      <i/>
      <sz val="1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3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medium">
        <color indexed="64"/>
      </left>
      <right/>
      <top/>
      <bottom style="medium">
        <color indexed="64"/>
      </bottom>
      <diagonal/>
    </border>
    <border>
      <left/>
      <right style="thin">
        <color theme="0" tint="-0.24994659260841701"/>
      </right>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right/>
      <top style="medium">
        <color indexed="64"/>
      </top>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right/>
      <top/>
      <bottom style="medium">
        <color indexed="64"/>
      </bottom>
      <diagonal/>
    </border>
    <border>
      <left/>
      <right style="medium">
        <color indexed="64"/>
      </right>
      <top/>
      <bottom/>
      <diagonal/>
    </border>
    <border>
      <left style="thin">
        <color theme="0" tint="-0.24994659260841701"/>
      </left>
      <right style="medium">
        <color indexed="64"/>
      </right>
      <top/>
      <bottom style="medium">
        <color indexed="64"/>
      </bottom>
      <diagonal/>
    </border>
    <border>
      <left style="thin">
        <color theme="0" tint="-0.24994659260841701"/>
      </left>
      <right style="medium">
        <color indexed="64"/>
      </right>
      <top style="thin">
        <color theme="0" tint="-0.24994659260841701"/>
      </top>
      <bottom/>
      <diagonal/>
    </border>
    <border>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21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167" fontId="11" fillId="10" borderId="3" xfId="0" applyNumberFormat="1" applyFont="1" applyFill="1" applyBorder="1" applyAlignment="1" applyProtection="1">
      <alignment horizontal="left" vertical="center"/>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4" fillId="0" borderId="0" xfId="0" applyFont="1" applyAlignment="1" applyProtection="1">
      <alignment wrapText="1"/>
      <protection locked="0"/>
    </xf>
    <xf numFmtId="167" fontId="11" fillId="10" borderId="10" xfId="0" applyNumberFormat="1" applyFont="1" applyFill="1" applyBorder="1" applyAlignment="1" applyProtection="1">
      <alignment horizontal="left" vertical="center"/>
      <protection locked="0"/>
    </xf>
    <xf numFmtId="164" fontId="11" fillId="10" borderId="11" xfId="0" applyNumberFormat="1" applyFont="1" applyFill="1" applyBorder="1" applyAlignment="1" applyProtection="1">
      <alignment vertical="center" wrapText="1"/>
      <protection locked="0"/>
    </xf>
    <xf numFmtId="167" fontId="11" fillId="10" borderId="12" xfId="0" applyNumberFormat="1" applyFont="1" applyFill="1" applyBorder="1" applyAlignment="1" applyProtection="1">
      <alignment horizontal="left" vertical="center"/>
      <protection locked="0"/>
    </xf>
    <xf numFmtId="164" fontId="11" fillId="10" borderId="13" xfId="0" applyNumberFormat="1" applyFont="1" applyFill="1" applyBorder="1" applyAlignment="1" applyProtection="1">
      <alignment vertical="center" wrapText="1"/>
      <protection locked="0"/>
    </xf>
    <xf numFmtId="167" fontId="11" fillId="10" borderId="14" xfId="0" applyNumberFormat="1" applyFont="1" applyFill="1" applyBorder="1" applyAlignment="1" applyProtection="1">
      <alignment horizontal="left" vertical="center"/>
      <protection locked="0"/>
    </xf>
    <xf numFmtId="167" fontId="11" fillId="10" borderId="15" xfId="0" applyNumberFormat="1" applyFont="1" applyFill="1" applyBorder="1" applyAlignment="1" applyProtection="1">
      <alignment horizontal="left" vertical="center"/>
      <protection locked="0"/>
    </xf>
    <xf numFmtId="164" fontId="11" fillId="10" borderId="0" xfId="0" applyNumberFormat="1" applyFont="1" applyFill="1" applyAlignment="1" applyProtection="1">
      <alignment vertical="center" wrapText="1"/>
      <protection locked="0"/>
    </xf>
    <xf numFmtId="167" fontId="11" fillId="10" borderId="16" xfId="0" applyNumberFormat="1" applyFont="1" applyFill="1" applyBorder="1" applyAlignment="1" applyProtection="1">
      <alignment horizontal="left" vertical="center"/>
      <protection locked="0"/>
    </xf>
    <xf numFmtId="164" fontId="11" fillId="10" borderId="17" xfId="0" applyNumberFormat="1" applyFont="1" applyFill="1" applyBorder="1" applyAlignment="1" applyProtection="1">
      <alignment vertical="center" wrapText="1"/>
      <protection locked="0"/>
    </xf>
    <xf numFmtId="164" fontId="11" fillId="10" borderId="8" xfId="0" applyNumberFormat="1" applyFont="1" applyFill="1" applyBorder="1" applyAlignment="1" applyProtection="1">
      <alignment vertical="center" wrapText="1"/>
      <protection locked="0"/>
    </xf>
    <xf numFmtId="167" fontId="11" fillId="10" borderId="18" xfId="0" applyNumberFormat="1" applyFont="1" applyFill="1" applyBorder="1" applyAlignment="1" applyProtection="1">
      <alignment horizontal="left" vertical="center"/>
      <protection locked="0"/>
    </xf>
    <xf numFmtId="164" fontId="11" fillId="10" borderId="19" xfId="0" applyNumberFormat="1" applyFont="1" applyFill="1" applyBorder="1" applyAlignment="1" applyProtection="1">
      <alignment vertical="center" wrapText="1"/>
      <protection locked="0"/>
    </xf>
    <xf numFmtId="167" fontId="11" fillId="10" borderId="20" xfId="0" applyNumberFormat="1" applyFont="1" applyFill="1" applyBorder="1" applyAlignment="1" applyProtection="1">
      <alignment horizontal="left" vertical="center"/>
      <protection locked="0"/>
    </xf>
    <xf numFmtId="164" fontId="11" fillId="10" borderId="21" xfId="0" applyNumberFormat="1" applyFont="1" applyFill="1" applyBorder="1" applyAlignment="1" applyProtection="1">
      <alignment vertical="center" wrapText="1"/>
      <protection locked="0"/>
    </xf>
    <xf numFmtId="164" fontId="11" fillId="10" borderId="22" xfId="0" applyNumberFormat="1" applyFont="1" applyFill="1" applyBorder="1" applyAlignment="1" applyProtection="1">
      <alignment vertical="center" wrapText="1"/>
      <protection locked="0"/>
    </xf>
    <xf numFmtId="167" fontId="11" fillId="10" borderId="23" xfId="0" applyNumberFormat="1" applyFont="1" applyFill="1" applyBorder="1" applyAlignment="1" applyProtection="1">
      <alignment horizontal="left" vertical="center"/>
      <protection locked="0"/>
    </xf>
    <xf numFmtId="0" fontId="0" fillId="10" borderId="24" xfId="0" applyFill="1" applyBorder="1" applyAlignment="1" applyProtection="1">
      <alignment horizontal="left" vertical="center" wrapText="1"/>
      <protection locked="0"/>
    </xf>
    <xf numFmtId="0" fontId="11" fillId="10" borderId="11" xfId="0" applyFont="1" applyFill="1" applyBorder="1" applyAlignment="1" applyProtection="1">
      <alignment vertical="center" wrapText="1"/>
      <protection locked="0"/>
    </xf>
    <xf numFmtId="0" fontId="11" fillId="10" borderId="25" xfId="0" applyFont="1" applyFill="1" applyBorder="1" applyAlignment="1" applyProtection="1">
      <alignment vertical="center" wrapText="1"/>
      <protection locked="0"/>
    </xf>
    <xf numFmtId="0" fontId="11" fillId="10" borderId="13" xfId="0" applyFont="1" applyFill="1" applyBorder="1" applyAlignment="1" applyProtection="1">
      <alignment vertical="center" wrapText="1"/>
      <protection locked="0"/>
    </xf>
    <xf numFmtId="0" fontId="11" fillId="10" borderId="26" xfId="0" applyFont="1" applyFill="1" applyBorder="1" applyAlignment="1" applyProtection="1">
      <alignment vertical="center" wrapText="1"/>
      <protection locked="0"/>
    </xf>
    <xf numFmtId="0" fontId="11" fillId="10" borderId="24" xfId="0" applyFont="1" applyFill="1" applyBorder="1" applyAlignment="1" applyProtection="1">
      <alignment horizontal="left" vertical="center" wrapText="1"/>
      <protection locked="0"/>
    </xf>
    <xf numFmtId="0" fontId="30" fillId="10" borderId="4" xfId="0" applyFont="1" applyFill="1" applyBorder="1" applyAlignment="1" applyProtection="1">
      <alignment vertical="center" wrapText="1"/>
      <protection locked="0"/>
    </xf>
    <xf numFmtId="0" fontId="11" fillId="10" borderId="27" xfId="0" applyFont="1" applyFill="1" applyBorder="1" applyAlignment="1" applyProtection="1">
      <alignment vertical="center" wrapText="1"/>
      <protection locked="0"/>
    </xf>
    <xf numFmtId="0" fontId="0" fillId="10" borderId="0" xfId="0" applyFill="1" applyAlignment="1" applyProtection="1">
      <alignment horizontal="left" vertical="center" wrapText="1"/>
      <protection locked="0"/>
    </xf>
    <xf numFmtId="0" fontId="0" fillId="10" borderId="28" xfId="0" applyFill="1" applyBorder="1" applyAlignment="1" applyProtection="1">
      <alignment horizontal="left" vertical="center" wrapText="1"/>
      <protection locked="0"/>
    </xf>
    <xf numFmtId="0" fontId="11" fillId="10" borderId="0" xfId="0" applyFont="1" applyFill="1" applyAlignment="1" applyProtection="1">
      <alignment vertical="center" wrapText="1"/>
      <protection locked="0"/>
    </xf>
    <xf numFmtId="0" fontId="11" fillId="10" borderId="29" xfId="0" applyFont="1" applyFill="1" applyBorder="1" applyAlignment="1" applyProtection="1">
      <alignment vertical="center" wrapText="1"/>
      <protection locked="0"/>
    </xf>
    <xf numFmtId="0" fontId="11" fillId="10" borderId="17" xfId="0" applyFont="1" applyFill="1" applyBorder="1" applyAlignment="1" applyProtection="1">
      <alignment vertical="center" wrapText="1"/>
      <protection locked="0"/>
    </xf>
    <xf numFmtId="0" fontId="11" fillId="10" borderId="30" xfId="0" applyFont="1" applyFill="1" applyBorder="1" applyAlignment="1" applyProtection="1">
      <alignment vertical="center" wrapText="1"/>
      <protection locked="0"/>
    </xf>
    <xf numFmtId="0" fontId="11" fillId="10" borderId="8" xfId="0" applyFont="1" applyFill="1" applyBorder="1" applyAlignment="1" applyProtection="1">
      <alignment vertical="center" wrapText="1"/>
      <protection locked="0"/>
    </xf>
    <xf numFmtId="0" fontId="11" fillId="10" borderId="31" xfId="0" applyFont="1" applyFill="1" applyBorder="1" applyAlignment="1" applyProtection="1">
      <alignment vertical="center" wrapText="1"/>
      <protection locked="0"/>
    </xf>
    <xf numFmtId="0" fontId="29" fillId="10" borderId="28" xfId="0" applyFont="1" applyFill="1" applyBorder="1" applyAlignment="1" applyProtection="1">
      <alignment horizontal="left" vertical="center" wrapText="1"/>
      <protection locked="0"/>
    </xf>
    <xf numFmtId="0" fontId="0" fillId="10" borderId="32" xfId="0" applyFill="1" applyBorder="1" applyAlignment="1" applyProtection="1">
      <alignment horizontal="left" vertical="center" wrapText="1"/>
      <protection locked="0"/>
    </xf>
    <xf numFmtId="0" fontId="11" fillId="10" borderId="21" xfId="0" applyFont="1" applyFill="1" applyBorder="1" applyAlignment="1" applyProtection="1">
      <alignment vertical="center" wrapText="1"/>
      <protection locked="0"/>
    </xf>
    <xf numFmtId="0" fontId="11" fillId="10" borderId="33" xfId="0" applyFont="1" applyFill="1" applyBorder="1" applyAlignment="1" applyProtection="1">
      <alignment vertical="center" wrapText="1"/>
      <protection locked="0"/>
    </xf>
    <xf numFmtId="0" fontId="11" fillId="10" borderId="24" xfId="0" applyFont="1" applyFill="1" applyBorder="1" applyAlignment="1" applyProtection="1">
      <alignment vertical="center" wrapText="1"/>
      <protection locked="0"/>
    </xf>
    <xf numFmtId="0" fontId="11" fillId="10" borderId="34" xfId="0" applyFont="1" applyFill="1" applyBorder="1" applyAlignment="1" applyProtection="1">
      <alignment vertical="center" wrapText="1"/>
      <protection locked="0"/>
    </xf>
    <xf numFmtId="167" fontId="11" fillId="10" borderId="0" xfId="0" applyNumberFormat="1" applyFont="1" applyFill="1" applyAlignment="1" applyProtection="1">
      <alignment horizontal="left" vertical="center"/>
      <protection locked="0"/>
    </xf>
    <xf numFmtId="167" fontId="11" fillId="10" borderId="35" xfId="0" applyNumberFormat="1" applyFont="1" applyFill="1" applyBorder="1" applyAlignment="1" applyProtection="1">
      <alignment horizontal="left" vertical="center"/>
      <protection locked="0"/>
    </xf>
    <xf numFmtId="0" fontId="11" fillId="10" borderId="36" xfId="0" applyFont="1" applyFill="1" applyBorder="1" applyAlignment="1" applyProtection="1">
      <alignment vertical="center" wrapText="1"/>
      <protection locked="0"/>
    </xf>
    <xf numFmtId="0" fontId="11" fillId="10" borderId="37" xfId="0" applyFont="1" applyFill="1" applyBorder="1" applyAlignment="1" applyProtection="1">
      <alignment vertical="center" wrapText="1"/>
      <protection locked="0"/>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sqref="A1:F1"/>
    </sheetView>
  </sheetViews>
  <sheetFormatPr defaultColWidth="0" defaultRowHeight="12.75" zeroHeight="1" x14ac:dyDescent="0.35"/>
  <cols>
    <col min="1" max="1" width="35.73046875" style="16" customWidth="1"/>
    <col min="2" max="2" width="21.53125" style="16" customWidth="1"/>
    <col min="3" max="3" width="33.53125" style="16" customWidth="1"/>
    <col min="4" max="4" width="4.46484375" style="16" customWidth="1"/>
    <col min="5" max="5" width="29" style="16" customWidth="1"/>
    <col min="6" max="6" width="19" style="16" customWidth="1"/>
    <col min="7" max="7" width="42" style="16" customWidth="1"/>
    <col min="8" max="11" width="9.19921875" style="16" hidden="1" customWidth="1"/>
    <col min="12" max="16384" width="9.19921875" style="16" hidden="1"/>
  </cols>
  <sheetData>
    <row r="1" spans="1:11" ht="26.25" customHeight="1" x14ac:dyDescent="0.35">
      <c r="A1" s="148" t="s">
        <v>2</v>
      </c>
      <c r="B1" s="148"/>
      <c r="C1" s="148"/>
      <c r="D1" s="148"/>
      <c r="E1" s="148"/>
      <c r="F1" s="148"/>
      <c r="G1" s="46"/>
      <c r="H1" s="46"/>
      <c r="I1" s="46"/>
      <c r="J1" s="46"/>
      <c r="K1" s="46"/>
    </row>
    <row r="2" spans="1:11" ht="21" customHeight="1" x14ac:dyDescent="0.35">
      <c r="A2" s="4" t="s">
        <v>3</v>
      </c>
      <c r="B2" s="149" t="s">
        <v>236</v>
      </c>
      <c r="C2" s="149"/>
      <c r="D2" s="149"/>
      <c r="E2" s="149"/>
      <c r="F2" s="149"/>
      <c r="G2" s="46"/>
      <c r="H2" s="46"/>
      <c r="I2" s="46"/>
      <c r="J2" s="46"/>
      <c r="K2" s="46"/>
    </row>
    <row r="3" spans="1:11" ht="21" customHeight="1" x14ac:dyDescent="0.35">
      <c r="A3" s="4" t="s">
        <v>4</v>
      </c>
      <c r="B3" s="149" t="s">
        <v>237</v>
      </c>
      <c r="C3" s="149"/>
      <c r="D3" s="149"/>
      <c r="E3" s="149"/>
      <c r="F3" s="149"/>
      <c r="G3" s="46"/>
      <c r="H3" s="46"/>
      <c r="I3" s="46"/>
      <c r="J3" s="46"/>
      <c r="K3" s="46"/>
    </row>
    <row r="4" spans="1:11" ht="21" customHeight="1" x14ac:dyDescent="0.35">
      <c r="A4" s="4" t="s">
        <v>5</v>
      </c>
      <c r="B4" s="150">
        <v>43647</v>
      </c>
      <c r="C4" s="150"/>
      <c r="D4" s="150"/>
      <c r="E4" s="150"/>
      <c r="F4" s="150"/>
      <c r="G4" s="46"/>
      <c r="H4" s="46"/>
      <c r="I4" s="46"/>
      <c r="J4" s="46"/>
      <c r="K4" s="46"/>
    </row>
    <row r="5" spans="1:11" ht="21" customHeight="1" x14ac:dyDescent="0.35">
      <c r="A5" s="4" t="s">
        <v>6</v>
      </c>
      <c r="B5" s="150">
        <v>44012</v>
      </c>
      <c r="C5" s="150"/>
      <c r="D5" s="150"/>
      <c r="E5" s="150"/>
      <c r="F5" s="150"/>
      <c r="G5" s="46"/>
      <c r="H5" s="46"/>
      <c r="I5" s="46"/>
      <c r="J5" s="46"/>
      <c r="K5" s="46"/>
    </row>
    <row r="6" spans="1:11" ht="21" customHeight="1" x14ac:dyDescent="0.35">
      <c r="A6" s="4" t="s">
        <v>7</v>
      </c>
      <c r="B6" s="147" t="str">
        <f>IF(AND(Travel!B7&lt;&gt;A30,Hospitality!B7&lt;&gt;A30,'All other expenses'!B7&lt;&gt;A30,'Gifts and benefits'!B7&lt;&gt;A30),A31,IF(AND(Travel!B7=A30,Hospitality!B7=A30,'All other expenses'!B7=A30,'Gifts and benefits'!B7=A30),A33,A32))</f>
        <v>Data and totals checked on all sheets</v>
      </c>
      <c r="C6" s="147"/>
      <c r="D6" s="147"/>
      <c r="E6" s="147"/>
      <c r="F6" s="147"/>
      <c r="G6" s="34"/>
      <c r="H6" s="46"/>
      <c r="I6" s="46"/>
      <c r="J6" s="46"/>
      <c r="K6" s="46"/>
    </row>
    <row r="7" spans="1:11" ht="21" customHeight="1" x14ac:dyDescent="0.35">
      <c r="A7" s="4" t="s">
        <v>8</v>
      </c>
      <c r="B7" s="146" t="s">
        <v>40</v>
      </c>
      <c r="C7" s="146"/>
      <c r="D7" s="146"/>
      <c r="E7" s="146"/>
      <c r="F7" s="146"/>
      <c r="G7" s="34"/>
      <c r="H7" s="46"/>
      <c r="I7" s="46"/>
      <c r="J7" s="46"/>
      <c r="K7" s="46"/>
    </row>
    <row r="8" spans="1:11" ht="21" customHeight="1" x14ac:dyDescent="0.35">
      <c r="A8" s="4" t="s">
        <v>10</v>
      </c>
      <c r="B8" s="146" t="s">
        <v>238</v>
      </c>
      <c r="C8" s="146"/>
      <c r="D8" s="146"/>
      <c r="E8" s="146"/>
      <c r="F8" s="146"/>
      <c r="G8" s="34"/>
      <c r="H8" s="46"/>
      <c r="I8" s="46"/>
      <c r="J8" s="46"/>
      <c r="K8" s="46"/>
    </row>
    <row r="9" spans="1:11" ht="66.75" customHeight="1" x14ac:dyDescent="0.35">
      <c r="A9" s="145" t="s">
        <v>11</v>
      </c>
      <c r="B9" s="145"/>
      <c r="C9" s="145"/>
      <c r="D9" s="145"/>
      <c r="E9" s="145"/>
      <c r="F9" s="145"/>
      <c r="G9" s="34"/>
      <c r="H9" s="46"/>
      <c r="I9" s="46"/>
      <c r="J9" s="46"/>
      <c r="K9" s="46"/>
    </row>
    <row r="10" spans="1:11" s="110" customFormat="1" ht="36" customHeight="1" x14ac:dyDescent="0.4">
      <c r="A10" s="104" t="s">
        <v>12</v>
      </c>
      <c r="B10" s="105" t="s">
        <v>13</v>
      </c>
      <c r="C10" s="105" t="s">
        <v>14</v>
      </c>
      <c r="D10" s="106"/>
      <c r="E10" s="107" t="s">
        <v>1</v>
      </c>
      <c r="F10" s="108" t="s">
        <v>15</v>
      </c>
      <c r="G10" s="109"/>
      <c r="H10" s="109"/>
      <c r="I10" s="109"/>
      <c r="J10" s="109"/>
      <c r="K10" s="109"/>
    </row>
    <row r="11" spans="1:11" ht="27.75" customHeight="1" x14ac:dyDescent="0.4">
      <c r="A11" s="10" t="s">
        <v>16</v>
      </c>
      <c r="B11" s="75">
        <f>B15+B16+B17</f>
        <v>16542.900000000001</v>
      </c>
      <c r="C11" s="82" t="str">
        <f>IF(Travel!B6="",A34,Travel!B6)</f>
        <v>Figures include GST (where applicable)</v>
      </c>
      <c r="D11" s="8"/>
      <c r="E11" s="10" t="s">
        <v>17</v>
      </c>
      <c r="F11" s="56">
        <f>'Gifts and benefits'!C25</f>
        <v>2</v>
      </c>
      <c r="G11" s="47"/>
      <c r="H11" s="47"/>
      <c r="I11" s="47"/>
      <c r="J11" s="47"/>
      <c r="K11" s="47"/>
    </row>
    <row r="12" spans="1:11" ht="27.75" customHeight="1" x14ac:dyDescent="0.4">
      <c r="A12" s="10" t="s">
        <v>0</v>
      </c>
      <c r="B12" s="75">
        <f>Hospitality!B25</f>
        <v>970.34999999999991</v>
      </c>
      <c r="C12" s="82" t="str">
        <f>IF(Hospitality!B6="",A34,Hospitality!B6)</f>
        <v>Figures include GST (where applicable)</v>
      </c>
      <c r="D12" s="8"/>
      <c r="E12" s="10" t="s">
        <v>18</v>
      </c>
      <c r="F12" s="56">
        <f>'Gifts and benefits'!C26</f>
        <v>1</v>
      </c>
      <c r="G12" s="47"/>
      <c r="H12" s="47"/>
      <c r="I12" s="47"/>
      <c r="J12" s="47"/>
      <c r="K12" s="47"/>
    </row>
    <row r="13" spans="1:11" ht="27.75" customHeight="1" x14ac:dyDescent="0.35">
      <c r="A13" s="10" t="s">
        <v>19</v>
      </c>
      <c r="B13" s="75">
        <f>'All other expenses'!B25</f>
        <v>210.98049999999998</v>
      </c>
      <c r="C13" s="82" t="str">
        <f>IF('All other expenses'!B6="",A34,'All other expenses'!B6)</f>
        <v>Figures include GST (where applicable)</v>
      </c>
      <c r="D13" s="8"/>
      <c r="E13" s="10" t="s">
        <v>20</v>
      </c>
      <c r="F13" s="56">
        <f>'Gifts and benefits'!C27</f>
        <v>1</v>
      </c>
      <c r="G13" s="46"/>
      <c r="H13" s="46"/>
      <c r="I13" s="46"/>
      <c r="J13" s="46"/>
      <c r="K13" s="46"/>
    </row>
    <row r="14" spans="1:11" ht="12.75" customHeight="1" x14ac:dyDescent="0.35">
      <c r="A14" s="9"/>
      <c r="B14" s="76"/>
      <c r="C14" s="83"/>
      <c r="D14" s="57"/>
      <c r="E14" s="8"/>
      <c r="F14" s="58"/>
      <c r="G14" s="26"/>
      <c r="H14" s="26"/>
      <c r="I14" s="26"/>
      <c r="J14" s="26"/>
      <c r="K14" s="26"/>
    </row>
    <row r="15" spans="1:11" ht="27.75" customHeight="1" x14ac:dyDescent="0.35">
      <c r="A15" s="11" t="s">
        <v>21</v>
      </c>
      <c r="B15" s="77">
        <f>Travel!B22</f>
        <v>0</v>
      </c>
      <c r="C15" s="84" t="str">
        <f>C11</f>
        <v>Figures include GST (where applicable)</v>
      </c>
      <c r="D15" s="8"/>
      <c r="E15" s="8"/>
      <c r="F15" s="58"/>
      <c r="G15" s="46"/>
      <c r="H15" s="46"/>
      <c r="I15" s="46"/>
      <c r="J15" s="46"/>
      <c r="K15" s="46"/>
    </row>
    <row r="16" spans="1:11" ht="27.75" customHeight="1" x14ac:dyDescent="0.35">
      <c r="A16" s="11" t="s">
        <v>22</v>
      </c>
      <c r="B16" s="77">
        <f>Travel!B112</f>
        <v>16386.07</v>
      </c>
      <c r="C16" s="84" t="str">
        <f>C11</f>
        <v>Figures include GST (where applicable)</v>
      </c>
      <c r="D16" s="59"/>
      <c r="E16" s="8"/>
      <c r="F16" s="60"/>
      <c r="G16" s="46"/>
      <c r="H16" s="46"/>
      <c r="I16" s="46"/>
      <c r="J16" s="46"/>
      <c r="K16" s="46"/>
    </row>
    <row r="17" spans="1:11" ht="27.75" customHeight="1" x14ac:dyDescent="0.35">
      <c r="A17" s="11" t="s">
        <v>23</v>
      </c>
      <c r="B17" s="77">
        <f>Travel!B137</f>
        <v>156.83000000000001</v>
      </c>
      <c r="C17" s="84" t="str">
        <f>C11</f>
        <v>Figures include GST (where applicable)</v>
      </c>
      <c r="D17" s="8"/>
      <c r="E17" s="8"/>
      <c r="F17" s="60"/>
      <c r="G17" s="46"/>
      <c r="H17" s="46"/>
      <c r="I17" s="46"/>
      <c r="J17" s="46"/>
      <c r="K17" s="46"/>
    </row>
    <row r="18" spans="1:11" ht="27.75" customHeight="1" x14ac:dyDescent="0.4">
      <c r="A18" s="27"/>
      <c r="B18" s="22"/>
      <c r="C18" s="27"/>
      <c r="D18" s="7"/>
      <c r="E18" s="7"/>
      <c r="F18" s="61"/>
      <c r="G18" s="62"/>
      <c r="H18" s="62"/>
      <c r="I18" s="62"/>
      <c r="J18" s="62"/>
      <c r="K18" s="62"/>
    </row>
    <row r="19" spans="1:11" ht="13.15" x14ac:dyDescent="0.4">
      <c r="A19" s="52" t="s">
        <v>24</v>
      </c>
      <c r="B19" s="25"/>
      <c r="C19" s="26"/>
      <c r="D19" s="27"/>
      <c r="E19" s="27"/>
      <c r="F19" s="27"/>
      <c r="G19" s="27"/>
      <c r="H19" s="27"/>
      <c r="I19" s="27"/>
      <c r="J19" s="27"/>
      <c r="K19" s="27"/>
    </row>
    <row r="20" spans="1:11" x14ac:dyDescent="0.35">
      <c r="A20" s="23" t="s">
        <v>25</v>
      </c>
      <c r="B20" s="53"/>
      <c r="C20" s="53"/>
      <c r="D20" s="26"/>
      <c r="E20" s="26"/>
      <c r="F20" s="26"/>
      <c r="G20" s="27"/>
      <c r="H20" s="27"/>
      <c r="I20" s="27"/>
      <c r="J20" s="27"/>
      <c r="K20" s="27"/>
    </row>
    <row r="21" spans="1:11" ht="12.7" customHeight="1" x14ac:dyDescent="0.35">
      <c r="A21" s="23" t="s">
        <v>26</v>
      </c>
      <c r="B21" s="53"/>
      <c r="C21" s="53"/>
      <c r="D21" s="20"/>
      <c r="E21" s="27"/>
      <c r="F21" s="27"/>
      <c r="G21" s="27"/>
      <c r="H21" s="27"/>
      <c r="I21" s="27"/>
      <c r="J21" s="27"/>
      <c r="K21" s="27"/>
    </row>
    <row r="22" spans="1:11" ht="12.7" customHeight="1" x14ac:dyDescent="0.35">
      <c r="A22" s="23" t="s">
        <v>27</v>
      </c>
      <c r="B22" s="53"/>
      <c r="C22" s="53"/>
      <c r="D22" s="20"/>
      <c r="E22" s="27"/>
      <c r="F22" s="27"/>
      <c r="G22" s="27"/>
      <c r="H22" s="27"/>
      <c r="I22" s="27"/>
      <c r="J22" s="27"/>
      <c r="K22" s="27"/>
    </row>
    <row r="23" spans="1:11" ht="12.7" customHeight="1" x14ac:dyDescent="0.35">
      <c r="A23" s="23" t="s">
        <v>28</v>
      </c>
      <c r="B23" s="53"/>
      <c r="C23" s="53"/>
      <c r="D23" s="20"/>
      <c r="E23" s="27"/>
      <c r="F23" s="27"/>
      <c r="G23" s="27"/>
      <c r="H23" s="27"/>
      <c r="I23" s="27"/>
      <c r="J23" s="27"/>
      <c r="K23" s="27"/>
    </row>
    <row r="24" spans="1:11" x14ac:dyDescent="0.35">
      <c r="A24" s="40"/>
      <c r="B24" s="27"/>
      <c r="C24" s="27"/>
      <c r="D24" s="27"/>
      <c r="E24" s="27"/>
      <c r="F24" s="46"/>
      <c r="G24" s="46"/>
      <c r="H24" s="46"/>
      <c r="I24" s="46"/>
      <c r="J24" s="46"/>
      <c r="K24" s="46"/>
    </row>
    <row r="25" spans="1:11" ht="13.15" hidden="1" x14ac:dyDescent="0.4">
      <c r="A25" s="14" t="s">
        <v>29</v>
      </c>
      <c r="B25" s="15"/>
      <c r="C25" s="15"/>
      <c r="D25" s="15"/>
      <c r="E25" s="15"/>
      <c r="F25" s="15"/>
      <c r="G25" s="46"/>
      <c r="H25" s="46"/>
      <c r="I25" s="46"/>
      <c r="J25" s="46"/>
      <c r="K25" s="46"/>
    </row>
    <row r="26" spans="1:11" ht="12.75" hidden="1" customHeight="1" x14ac:dyDescent="0.35">
      <c r="A26" s="13" t="s">
        <v>30</v>
      </c>
      <c r="B26" s="6"/>
      <c r="C26" s="6"/>
      <c r="D26" s="13"/>
      <c r="E26" s="13"/>
      <c r="F26" s="13"/>
      <c r="G26" s="46"/>
      <c r="H26" s="46"/>
      <c r="I26" s="46"/>
      <c r="J26" s="46"/>
      <c r="K26" s="46"/>
    </row>
    <row r="27" spans="1:11" hidden="1" x14ac:dyDescent="0.35">
      <c r="A27" s="12" t="s">
        <v>31</v>
      </c>
      <c r="B27" s="12"/>
      <c r="C27" s="12"/>
      <c r="D27" s="12"/>
      <c r="E27" s="12"/>
      <c r="F27" s="12"/>
      <c r="G27" s="46"/>
      <c r="H27" s="46"/>
      <c r="I27" s="46"/>
      <c r="J27" s="46"/>
      <c r="K27" s="46"/>
    </row>
    <row r="28" spans="1:11" hidden="1" x14ac:dyDescent="0.35">
      <c r="A28" s="12" t="s">
        <v>32</v>
      </c>
      <c r="B28" s="12"/>
      <c r="C28" s="12"/>
      <c r="D28" s="12"/>
      <c r="E28" s="12"/>
      <c r="F28" s="12"/>
      <c r="G28" s="46"/>
      <c r="H28" s="46"/>
      <c r="I28" s="46"/>
      <c r="J28" s="46"/>
      <c r="K28" s="46"/>
    </row>
    <row r="29" spans="1:11" hidden="1" x14ac:dyDescent="0.35">
      <c r="A29" s="13" t="s">
        <v>33</v>
      </c>
      <c r="B29" s="13"/>
      <c r="C29" s="13"/>
      <c r="D29" s="13"/>
      <c r="E29" s="13"/>
      <c r="F29" s="13"/>
      <c r="G29" s="46"/>
      <c r="H29" s="46"/>
      <c r="I29" s="46"/>
      <c r="J29" s="46"/>
      <c r="K29" s="46"/>
    </row>
    <row r="30" spans="1:11" hidden="1" x14ac:dyDescent="0.35">
      <c r="A30" s="13" t="s">
        <v>34</v>
      </c>
      <c r="B30" s="13"/>
      <c r="C30" s="13"/>
      <c r="D30" s="13"/>
      <c r="E30" s="13"/>
      <c r="F30" s="13"/>
      <c r="G30" s="46"/>
      <c r="H30" s="46"/>
      <c r="I30" s="46"/>
      <c r="J30" s="46"/>
      <c r="K30" s="46"/>
    </row>
    <row r="31" spans="1:11" hidden="1" x14ac:dyDescent="0.35">
      <c r="A31" s="12" t="s">
        <v>35</v>
      </c>
      <c r="B31" s="12"/>
      <c r="C31" s="12"/>
      <c r="D31" s="12"/>
      <c r="E31" s="12"/>
      <c r="F31" s="12"/>
      <c r="G31" s="46"/>
      <c r="H31" s="46"/>
      <c r="I31" s="46"/>
      <c r="J31" s="46"/>
      <c r="K31" s="46"/>
    </row>
    <row r="32" spans="1:11" hidden="1" x14ac:dyDescent="0.35">
      <c r="A32" s="12" t="s">
        <v>36</v>
      </c>
      <c r="B32" s="12"/>
      <c r="C32" s="12"/>
      <c r="D32" s="12"/>
      <c r="E32" s="12"/>
      <c r="F32" s="12"/>
      <c r="G32" s="46"/>
      <c r="H32" s="46"/>
      <c r="I32" s="46"/>
      <c r="J32" s="46"/>
      <c r="K32" s="46"/>
    </row>
    <row r="33" spans="1:11" hidden="1" x14ac:dyDescent="0.35">
      <c r="A33" s="12" t="s">
        <v>37</v>
      </c>
      <c r="B33" s="12"/>
      <c r="C33" s="12"/>
      <c r="D33" s="12"/>
      <c r="E33" s="12"/>
      <c r="F33" s="12"/>
      <c r="G33" s="46"/>
      <c r="H33" s="46"/>
      <c r="I33" s="46"/>
      <c r="J33" s="46"/>
      <c r="K33" s="46"/>
    </row>
    <row r="34" spans="1:11" hidden="1" x14ac:dyDescent="0.35">
      <c r="A34" s="13" t="s">
        <v>38</v>
      </c>
      <c r="B34" s="13"/>
      <c r="C34" s="13"/>
      <c r="D34" s="13"/>
      <c r="E34" s="13"/>
      <c r="F34" s="13"/>
      <c r="G34" s="46"/>
      <c r="H34" s="46"/>
      <c r="I34" s="46"/>
      <c r="J34" s="46"/>
      <c r="K34" s="46"/>
    </row>
    <row r="35" spans="1:11" hidden="1" x14ac:dyDescent="0.35">
      <c r="A35" s="13" t="s">
        <v>39</v>
      </c>
      <c r="B35" s="13"/>
      <c r="C35" s="13"/>
      <c r="D35" s="13"/>
      <c r="E35" s="13"/>
      <c r="F35" s="13"/>
      <c r="G35" s="46"/>
      <c r="H35" s="46"/>
      <c r="I35" s="46"/>
      <c r="J35" s="46"/>
      <c r="K35" s="46"/>
    </row>
    <row r="36" spans="1:11" hidden="1" x14ac:dyDescent="0.35">
      <c r="A36" s="80" t="s">
        <v>9</v>
      </c>
      <c r="B36" s="79"/>
      <c r="C36" s="79"/>
      <c r="D36" s="79"/>
      <c r="E36" s="79"/>
      <c r="F36" s="79"/>
      <c r="G36" s="46"/>
      <c r="H36" s="46"/>
      <c r="I36" s="46"/>
      <c r="J36" s="46"/>
      <c r="K36" s="46"/>
    </row>
    <row r="37" spans="1:11" hidden="1" x14ac:dyDescent="0.35">
      <c r="A37" s="80" t="s">
        <v>40</v>
      </c>
      <c r="B37" s="79"/>
      <c r="C37" s="79"/>
      <c r="D37" s="79"/>
      <c r="E37" s="79"/>
      <c r="F37" s="79"/>
      <c r="G37" s="46"/>
      <c r="H37" s="46"/>
      <c r="I37" s="46"/>
      <c r="J37" s="46"/>
      <c r="K37" s="46"/>
    </row>
    <row r="38" spans="1:11" hidden="1" x14ac:dyDescent="0.35">
      <c r="A38" s="80" t="s">
        <v>119</v>
      </c>
      <c r="B38" s="79"/>
      <c r="C38" s="79"/>
      <c r="D38" s="79"/>
      <c r="E38" s="79"/>
      <c r="F38" s="79"/>
      <c r="G38" s="46"/>
      <c r="H38" s="46"/>
      <c r="I38" s="46"/>
      <c r="J38" s="46"/>
      <c r="K38" s="46"/>
    </row>
    <row r="39" spans="1:11" hidden="1" x14ac:dyDescent="0.35">
      <c r="A39" s="63" t="s">
        <v>41</v>
      </c>
      <c r="B39" s="5"/>
      <c r="C39" s="5"/>
      <c r="D39" s="5"/>
      <c r="E39" s="5"/>
      <c r="F39" s="5"/>
      <c r="G39" s="46"/>
      <c r="H39" s="46"/>
      <c r="I39" s="46"/>
      <c r="J39" s="46"/>
      <c r="K39" s="46"/>
    </row>
    <row r="40" spans="1:11" hidden="1" x14ac:dyDescent="0.35">
      <c r="A40" s="64" t="s">
        <v>42</v>
      </c>
      <c r="B40" s="5"/>
      <c r="C40" s="5"/>
      <c r="D40" s="5"/>
      <c r="E40" s="5"/>
      <c r="F40" s="5"/>
      <c r="G40" s="46"/>
      <c r="H40" s="46"/>
      <c r="I40" s="46"/>
      <c r="J40" s="46"/>
      <c r="K40" s="46"/>
    </row>
    <row r="41" spans="1:11" hidden="1" x14ac:dyDescent="0.35">
      <c r="A41" s="64" t="s">
        <v>43</v>
      </c>
      <c r="B41" s="5"/>
      <c r="C41" s="5"/>
      <c r="D41" s="5"/>
      <c r="E41" s="5"/>
      <c r="F41" s="5"/>
      <c r="G41" s="46"/>
      <c r="H41" s="46"/>
      <c r="I41" s="46"/>
      <c r="J41" s="46"/>
      <c r="K41" s="46"/>
    </row>
    <row r="42" spans="1:11" hidden="1" x14ac:dyDescent="0.35">
      <c r="A42" s="64" t="s">
        <v>44</v>
      </c>
      <c r="B42" s="5"/>
      <c r="C42" s="5"/>
      <c r="D42" s="5"/>
      <c r="E42" s="5"/>
      <c r="F42" s="5"/>
      <c r="G42" s="46"/>
      <c r="H42" s="46"/>
      <c r="I42" s="46"/>
      <c r="J42" s="46"/>
      <c r="K42" s="46"/>
    </row>
    <row r="43" spans="1:11" hidden="1" x14ac:dyDescent="0.35">
      <c r="A43" s="64" t="s">
        <v>45</v>
      </c>
      <c r="B43" s="5"/>
      <c r="C43" s="5"/>
      <c r="D43" s="5"/>
      <c r="E43" s="5"/>
      <c r="F43" s="5"/>
      <c r="G43" s="46"/>
      <c r="H43" s="46"/>
      <c r="I43" s="46"/>
      <c r="J43" s="46"/>
      <c r="K43" s="46"/>
    </row>
    <row r="44" spans="1:11" hidden="1" x14ac:dyDescent="0.35">
      <c r="A44" s="64" t="s">
        <v>46</v>
      </c>
      <c r="B44" s="5"/>
      <c r="C44" s="5"/>
      <c r="D44" s="5"/>
      <c r="E44" s="5"/>
      <c r="F44" s="5"/>
      <c r="G44" s="46"/>
      <c r="H44" s="46"/>
      <c r="I44" s="46"/>
      <c r="J44" s="46"/>
      <c r="K44" s="46"/>
    </row>
    <row r="45" spans="1:11" hidden="1" x14ac:dyDescent="0.35">
      <c r="A45" s="81" t="s">
        <v>47</v>
      </c>
      <c r="B45" s="79"/>
      <c r="C45" s="79"/>
      <c r="D45" s="79"/>
      <c r="E45" s="79"/>
      <c r="F45" s="79"/>
      <c r="G45" s="46"/>
      <c r="H45" s="46"/>
      <c r="I45" s="46"/>
      <c r="J45" s="46"/>
      <c r="K45" s="46"/>
    </row>
    <row r="46" spans="1:11" hidden="1" x14ac:dyDescent="0.35">
      <c r="A46" s="79" t="s">
        <v>48</v>
      </c>
      <c r="B46" s="79"/>
      <c r="C46" s="79"/>
      <c r="D46" s="79"/>
      <c r="E46" s="79"/>
      <c r="F46" s="79"/>
      <c r="G46" s="46"/>
      <c r="H46" s="46"/>
      <c r="I46" s="46"/>
      <c r="J46" s="46"/>
      <c r="K46" s="46"/>
    </row>
    <row r="47" spans="1:11" hidden="1" x14ac:dyDescent="0.35">
      <c r="A47" s="65">
        <v>-20000</v>
      </c>
      <c r="B47" s="5"/>
      <c r="C47" s="5"/>
      <c r="D47" s="5"/>
      <c r="E47" s="5"/>
      <c r="F47" s="5"/>
      <c r="G47" s="46"/>
      <c r="H47" s="46"/>
      <c r="I47" s="46"/>
      <c r="J47" s="46"/>
      <c r="K47" s="46"/>
    </row>
    <row r="48" spans="1:11" ht="25.5" hidden="1" x14ac:dyDescent="0.35">
      <c r="A48" s="98" t="s">
        <v>49</v>
      </c>
      <c r="B48" s="79"/>
      <c r="C48" s="79"/>
      <c r="D48" s="79"/>
      <c r="E48" s="79"/>
      <c r="F48" s="79"/>
      <c r="G48" s="46"/>
      <c r="H48" s="46"/>
      <c r="I48" s="46"/>
      <c r="J48" s="46"/>
      <c r="K48" s="46"/>
    </row>
    <row r="49" spans="1:11" ht="25.5" hidden="1" x14ac:dyDescent="0.35">
      <c r="A49" s="98" t="s">
        <v>50</v>
      </c>
      <c r="B49" s="79"/>
      <c r="C49" s="79"/>
      <c r="D49" s="79"/>
      <c r="E49" s="79"/>
      <c r="F49" s="79"/>
      <c r="G49" s="46"/>
      <c r="H49" s="46"/>
      <c r="I49" s="46"/>
      <c r="J49" s="46"/>
      <c r="K49" s="46"/>
    </row>
    <row r="50" spans="1:11" ht="25.5" hidden="1" x14ac:dyDescent="0.35">
      <c r="A50" s="99" t="s">
        <v>51</v>
      </c>
      <c r="B50" s="5"/>
      <c r="C50" s="5"/>
      <c r="D50" s="5"/>
      <c r="E50" s="5"/>
      <c r="F50" s="5"/>
      <c r="G50" s="46"/>
      <c r="H50" s="46"/>
      <c r="I50" s="46"/>
      <c r="J50" s="46"/>
      <c r="K50" s="46"/>
    </row>
    <row r="51" spans="1:11" ht="25.5" hidden="1" x14ac:dyDescent="0.35">
      <c r="A51" s="99" t="s">
        <v>52</v>
      </c>
      <c r="B51" s="5"/>
      <c r="C51" s="5"/>
      <c r="D51" s="5"/>
      <c r="E51" s="5"/>
      <c r="F51" s="5"/>
      <c r="G51" s="46"/>
      <c r="H51" s="46"/>
      <c r="I51" s="46"/>
      <c r="J51" s="46"/>
      <c r="K51" s="46"/>
    </row>
    <row r="52" spans="1:11" ht="38.25" hidden="1" x14ac:dyDescent="0.4">
      <c r="A52" s="99" t="s">
        <v>53</v>
      </c>
      <c r="B52" s="89"/>
      <c r="C52" s="89"/>
      <c r="D52" s="97"/>
      <c r="E52" s="66"/>
      <c r="F52" s="66"/>
      <c r="G52" s="46"/>
      <c r="H52" s="46"/>
      <c r="I52" s="46"/>
      <c r="J52" s="46"/>
      <c r="K52" s="46"/>
    </row>
    <row r="53" spans="1:11" ht="13.15" hidden="1" x14ac:dyDescent="0.4">
      <c r="A53" s="94" t="s">
        <v>54</v>
      </c>
      <c r="B53" s="95"/>
      <c r="C53" s="95"/>
      <c r="D53" s="88"/>
      <c r="E53" s="67"/>
      <c r="F53" s="67" t="b">
        <v>1</v>
      </c>
      <c r="G53" s="46"/>
      <c r="H53" s="46"/>
      <c r="I53" s="46"/>
      <c r="J53" s="46"/>
      <c r="K53" s="46"/>
    </row>
    <row r="54" spans="1:11" ht="13.15" hidden="1" x14ac:dyDescent="0.4">
      <c r="A54" s="96" t="s">
        <v>55</v>
      </c>
      <c r="B54" s="94"/>
      <c r="C54" s="94"/>
      <c r="D54" s="94"/>
      <c r="E54" s="67"/>
      <c r="F54" s="67" t="b">
        <v>0</v>
      </c>
      <c r="G54" s="46"/>
      <c r="H54" s="46"/>
      <c r="I54" s="46"/>
      <c r="J54" s="46"/>
      <c r="K54" s="46"/>
    </row>
    <row r="55" spans="1:11" ht="13.15" hidden="1" x14ac:dyDescent="0.35">
      <c r="A55" s="100"/>
      <c r="B55" s="90">
        <f>COUNT(Travel!B12:B21)</f>
        <v>0</v>
      </c>
      <c r="C55" s="90"/>
      <c r="D55" s="90">
        <f>COUNTIF(Travel!D12:D21,"*")</f>
        <v>0</v>
      </c>
      <c r="E55" s="91"/>
      <c r="F55" s="91" t="b">
        <f>MIN(B55,D55)=MAX(B55,D55)</f>
        <v>1</v>
      </c>
      <c r="G55" s="46"/>
      <c r="H55" s="46"/>
      <c r="I55" s="46"/>
      <c r="J55" s="46"/>
      <c r="K55" s="46"/>
    </row>
    <row r="56" spans="1:11" ht="13.15" hidden="1" x14ac:dyDescent="0.35">
      <c r="A56" s="100" t="s">
        <v>56</v>
      </c>
      <c r="B56" s="90">
        <f>COUNT(Travel!B26:B111)</f>
        <v>77</v>
      </c>
      <c r="C56" s="90"/>
      <c r="D56" s="90">
        <f>COUNTIF(Travel!D26:D111,"*")</f>
        <v>77</v>
      </c>
      <c r="E56" s="91"/>
      <c r="F56" s="91" t="b">
        <f>MIN(B56,D56)=MAX(B56,D56)</f>
        <v>1</v>
      </c>
    </row>
    <row r="57" spans="1:11" ht="13.15" hidden="1" x14ac:dyDescent="0.4">
      <c r="A57" s="101"/>
      <c r="B57" s="90">
        <f>COUNT(Travel!B116:B136)</f>
        <v>11</v>
      </c>
      <c r="C57" s="90"/>
      <c r="D57" s="90">
        <f>COUNTIF(Travel!D116:D136,"*")</f>
        <v>11</v>
      </c>
      <c r="E57" s="91"/>
      <c r="F57" s="91" t="b">
        <f>MIN(B57,D57)=MAX(B57,D57)</f>
        <v>1</v>
      </c>
    </row>
    <row r="58" spans="1:11" ht="13.15" hidden="1" x14ac:dyDescent="0.4">
      <c r="A58" s="102" t="s">
        <v>57</v>
      </c>
      <c r="B58" s="92">
        <f>COUNT(Hospitality!B11:B24)</f>
        <v>9</v>
      </c>
      <c r="C58" s="92"/>
      <c r="D58" s="92">
        <f>COUNTIF(Hospitality!D11:D24,"*")</f>
        <v>9</v>
      </c>
      <c r="E58" s="93"/>
      <c r="F58" s="93" t="b">
        <f>MIN(B58,D58)=MAX(B58,D58)</f>
        <v>1</v>
      </c>
    </row>
    <row r="59" spans="1:11" ht="13.15" hidden="1" x14ac:dyDescent="0.4">
      <c r="A59" s="103" t="s">
        <v>58</v>
      </c>
      <c r="B59" s="91">
        <f>COUNT('All other expenses'!B11:B24)</f>
        <v>11</v>
      </c>
      <c r="C59" s="91"/>
      <c r="D59" s="91">
        <f>COUNTIF('All other expenses'!D11:D24,"*")</f>
        <v>11</v>
      </c>
      <c r="E59" s="91"/>
      <c r="F59" s="91" t="b">
        <f>MIN(B59,D59)=MAX(B59,D59)</f>
        <v>1</v>
      </c>
    </row>
    <row r="60" spans="1:11" ht="13.15" hidden="1" x14ac:dyDescent="0.4">
      <c r="A60" s="102" t="s">
        <v>59</v>
      </c>
      <c r="B60" s="92">
        <f>COUNTIF('Gifts and benefits'!B11:B24,"*")</f>
        <v>2</v>
      </c>
      <c r="C60" s="92">
        <f>COUNTIF('Gifts and benefits'!C11:C24,"*")</f>
        <v>2</v>
      </c>
      <c r="D60" s="92"/>
      <c r="E60" s="92">
        <f>COUNTA('Gifts and benefits'!E11:E24)</f>
        <v>2</v>
      </c>
      <c r="F60" s="93" t="b">
        <f>MIN(B60,C60,E60)=MAX(B60,C60,E60)</f>
        <v>1</v>
      </c>
    </row>
    <row r="61" spans="1:1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0"/>
  <sheetViews>
    <sheetView topLeftCell="E1" zoomScaleNormal="100" workbookViewId="0">
      <selection activeCell="B7" sqref="B7:E7"/>
    </sheetView>
  </sheetViews>
  <sheetFormatPr defaultColWidth="0" defaultRowHeight="12.75" zeroHeight="1" x14ac:dyDescent="0.35"/>
  <cols>
    <col min="1" max="1" width="35.73046875" style="16" customWidth="1"/>
    <col min="2" max="2" width="14.265625" style="16" customWidth="1"/>
    <col min="3" max="3" width="71.46484375" style="16" customWidth="1"/>
    <col min="4" max="4" width="50" style="16" customWidth="1"/>
    <col min="5" max="5" width="21.46484375" style="16" customWidth="1"/>
    <col min="6" max="6" width="37.53125" style="16" customWidth="1"/>
    <col min="7" max="9" width="9.19921875" style="16" hidden="1" customWidth="1"/>
    <col min="10" max="13" width="0" style="16" hidden="1" customWidth="1"/>
    <col min="14" max="16384" width="9.19921875" style="16" hidden="1"/>
  </cols>
  <sheetData>
    <row r="1" spans="1:6" ht="26.25" customHeight="1" x14ac:dyDescent="0.35">
      <c r="A1" s="148" t="s">
        <v>60</v>
      </c>
      <c r="B1" s="148"/>
      <c r="C1" s="148"/>
      <c r="D1" s="148"/>
      <c r="E1" s="148"/>
      <c r="F1" s="46"/>
    </row>
    <row r="2" spans="1:6" ht="21" customHeight="1" x14ac:dyDescent="0.35">
      <c r="A2" s="4" t="s">
        <v>3</v>
      </c>
      <c r="B2" s="151" t="str">
        <f>'Summary and sign-off'!B2:F2</f>
        <v>Ministry for Pacific Peoples</v>
      </c>
      <c r="C2" s="151"/>
      <c r="D2" s="151"/>
      <c r="E2" s="151"/>
      <c r="F2" s="46"/>
    </row>
    <row r="3" spans="1:6" ht="21" customHeight="1" x14ac:dyDescent="0.35">
      <c r="A3" s="4" t="s">
        <v>61</v>
      </c>
      <c r="B3" s="151" t="str">
        <f>'Summary and sign-off'!B3:F3</f>
        <v>Laulu Mac Leauanae</v>
      </c>
      <c r="C3" s="151"/>
      <c r="D3" s="151"/>
      <c r="E3" s="151"/>
      <c r="F3" s="46"/>
    </row>
    <row r="4" spans="1:6" ht="21" customHeight="1" x14ac:dyDescent="0.35">
      <c r="A4" s="4" t="s">
        <v>62</v>
      </c>
      <c r="B4" s="151">
        <f>'Summary and sign-off'!B4:F4</f>
        <v>43647</v>
      </c>
      <c r="C4" s="151"/>
      <c r="D4" s="151"/>
      <c r="E4" s="151"/>
      <c r="F4" s="46"/>
    </row>
    <row r="5" spans="1:6" ht="21" customHeight="1" x14ac:dyDescent="0.35">
      <c r="A5" s="4" t="s">
        <v>63</v>
      </c>
      <c r="B5" s="151">
        <f>'Summary and sign-off'!B5:F5</f>
        <v>44012</v>
      </c>
      <c r="C5" s="151"/>
      <c r="D5" s="151"/>
      <c r="E5" s="151"/>
      <c r="F5" s="46"/>
    </row>
    <row r="6" spans="1:6" ht="21" customHeight="1" x14ac:dyDescent="0.35">
      <c r="A6" s="4" t="s">
        <v>64</v>
      </c>
      <c r="B6" s="146" t="s">
        <v>31</v>
      </c>
      <c r="C6" s="146"/>
      <c r="D6" s="146"/>
      <c r="E6" s="146"/>
      <c r="F6" s="46"/>
    </row>
    <row r="7" spans="1:6" ht="21" customHeight="1" x14ac:dyDescent="0.35">
      <c r="A7" s="4" t="s">
        <v>7</v>
      </c>
      <c r="B7" s="146" t="s">
        <v>34</v>
      </c>
      <c r="C7" s="146"/>
      <c r="D7" s="146"/>
      <c r="E7" s="146"/>
      <c r="F7" s="46"/>
    </row>
    <row r="8" spans="1:6" ht="36" customHeight="1" x14ac:dyDescent="0.4">
      <c r="A8" s="154" t="s">
        <v>65</v>
      </c>
      <c r="B8" s="155"/>
      <c r="C8" s="155"/>
      <c r="D8" s="155"/>
      <c r="E8" s="155"/>
      <c r="F8" s="22"/>
    </row>
    <row r="9" spans="1:6" ht="36" customHeight="1" x14ac:dyDescent="0.4">
      <c r="A9" s="156" t="s">
        <v>66</v>
      </c>
      <c r="B9" s="157"/>
      <c r="C9" s="157"/>
      <c r="D9" s="157"/>
      <c r="E9" s="157"/>
      <c r="F9" s="22"/>
    </row>
    <row r="10" spans="1:6" ht="24.75" customHeight="1" x14ac:dyDescent="0.4">
      <c r="A10" s="153" t="s">
        <v>67</v>
      </c>
      <c r="B10" s="158"/>
      <c r="C10" s="153"/>
      <c r="D10" s="153"/>
      <c r="E10" s="153"/>
      <c r="F10" s="47"/>
    </row>
    <row r="11" spans="1:6" ht="27" customHeight="1" x14ac:dyDescent="0.35">
      <c r="A11" s="35" t="s">
        <v>68</v>
      </c>
      <c r="B11" s="35" t="s">
        <v>69</v>
      </c>
      <c r="C11" s="35" t="s">
        <v>70</v>
      </c>
      <c r="D11" s="35" t="s">
        <v>71</v>
      </c>
      <c r="E11" s="35" t="s">
        <v>72</v>
      </c>
      <c r="F11" s="48"/>
    </row>
    <row r="12" spans="1:6" s="68" customFormat="1" hidden="1" x14ac:dyDescent="0.35">
      <c r="A12" s="111"/>
      <c r="B12" s="112"/>
      <c r="C12" s="113"/>
      <c r="D12" s="113"/>
      <c r="E12" s="114"/>
      <c r="F12" s="1"/>
    </row>
    <row r="13" spans="1:6" s="68" customFormat="1" x14ac:dyDescent="0.35">
      <c r="A13" s="133"/>
      <c r="B13" s="134"/>
      <c r="C13" s="135"/>
      <c r="D13" s="135"/>
      <c r="E13" s="136"/>
      <c r="F13" s="1"/>
    </row>
    <row r="14" spans="1:6" s="68" customFormat="1" x14ac:dyDescent="0.35">
      <c r="A14" s="133"/>
      <c r="B14" s="134"/>
      <c r="C14" s="135" t="s">
        <v>146</v>
      </c>
      <c r="D14" s="135"/>
      <c r="E14" s="136"/>
      <c r="F14" s="1"/>
    </row>
    <row r="15" spans="1:6" s="68" customFormat="1" x14ac:dyDescent="0.35">
      <c r="A15" s="133"/>
      <c r="B15" s="134"/>
      <c r="C15" s="135"/>
      <c r="D15" s="135"/>
      <c r="E15" s="136"/>
      <c r="F15" s="1"/>
    </row>
    <row r="16" spans="1:6" s="68" customFormat="1" x14ac:dyDescent="0.35">
      <c r="A16" s="133"/>
      <c r="B16" s="134"/>
      <c r="C16" s="135"/>
      <c r="D16" s="135"/>
      <c r="E16" s="136"/>
      <c r="F16" s="1"/>
    </row>
    <row r="17" spans="1:6" s="68" customFormat="1" x14ac:dyDescent="0.35">
      <c r="A17" s="133"/>
      <c r="B17" s="134"/>
      <c r="C17" s="135"/>
      <c r="D17" s="135"/>
      <c r="E17" s="136"/>
      <c r="F17" s="1"/>
    </row>
    <row r="18" spans="1:6" s="68" customFormat="1" ht="12.75" customHeight="1" x14ac:dyDescent="0.35">
      <c r="A18" s="133"/>
      <c r="B18" s="134"/>
      <c r="C18" s="135"/>
      <c r="D18" s="135"/>
      <c r="E18" s="136"/>
      <c r="F18" s="1"/>
    </row>
    <row r="19" spans="1:6" s="68" customFormat="1" x14ac:dyDescent="0.35">
      <c r="A19" s="137"/>
      <c r="B19" s="134"/>
      <c r="C19" s="135"/>
      <c r="D19" s="135"/>
      <c r="E19" s="136"/>
      <c r="F19" s="1"/>
    </row>
    <row r="20" spans="1:6" s="68" customFormat="1" x14ac:dyDescent="0.35">
      <c r="A20" s="137"/>
      <c r="B20" s="134"/>
      <c r="C20" s="135"/>
      <c r="D20" s="135"/>
      <c r="E20" s="136"/>
      <c r="F20" s="1"/>
    </row>
    <row r="21" spans="1:6" s="68" customFormat="1" hidden="1" x14ac:dyDescent="0.35">
      <c r="A21" s="120"/>
      <c r="B21" s="121"/>
      <c r="C21" s="122"/>
      <c r="D21" s="122"/>
      <c r="E21" s="123"/>
      <c r="F21" s="1"/>
    </row>
    <row r="22" spans="1:6" ht="19.5" customHeight="1" x14ac:dyDescent="0.35">
      <c r="A22" s="86" t="s">
        <v>73</v>
      </c>
      <c r="B22" s="87">
        <f>SUM(B12:B21)</f>
        <v>0</v>
      </c>
      <c r="C22" s="144" t="str">
        <f>IF(SUBTOTAL(3,B12:B21)=SUBTOTAL(103,B12:B21),'Summary and sign-off'!$A$48,'Summary and sign-off'!$A$49)</f>
        <v>Check - there are no hidden rows with data</v>
      </c>
      <c r="D22" s="152" t="str">
        <f>IF('Summary and sign-off'!F55='Summary and sign-off'!F54,'Summary and sign-off'!A51,'Summary and sign-off'!A50)</f>
        <v>Check - each entry provides sufficient information</v>
      </c>
      <c r="E22" s="152"/>
      <c r="F22" s="46"/>
    </row>
    <row r="23" spans="1:6" ht="10.5" customHeight="1" x14ac:dyDescent="0.4">
      <c r="A23" s="27"/>
      <c r="B23" s="22"/>
      <c r="C23" s="27"/>
      <c r="D23" s="27"/>
      <c r="E23" s="27"/>
      <c r="F23" s="27"/>
    </row>
    <row r="24" spans="1:6" ht="24.75" customHeight="1" x14ac:dyDescent="0.4">
      <c r="A24" s="153" t="s">
        <v>74</v>
      </c>
      <c r="B24" s="153"/>
      <c r="C24" s="153"/>
      <c r="D24" s="153"/>
      <c r="E24" s="153"/>
      <c r="F24" s="47"/>
    </row>
    <row r="25" spans="1:6" ht="27" customHeight="1" x14ac:dyDescent="0.35">
      <c r="A25" s="35" t="s">
        <v>68</v>
      </c>
      <c r="B25" s="35" t="s">
        <v>13</v>
      </c>
      <c r="C25" s="35" t="s">
        <v>75</v>
      </c>
      <c r="D25" s="35" t="s">
        <v>71</v>
      </c>
      <c r="E25" s="35" t="s">
        <v>72</v>
      </c>
      <c r="F25" s="48"/>
    </row>
    <row r="26" spans="1:6" s="68" customFormat="1" hidden="1" x14ac:dyDescent="0.35">
      <c r="A26" s="111"/>
      <c r="B26" s="112"/>
      <c r="C26" s="113"/>
      <c r="D26" s="113"/>
      <c r="E26" s="114"/>
      <c r="F26" s="1"/>
    </row>
    <row r="27" spans="1:6" s="68" customFormat="1" ht="13.15" thickBot="1" x14ac:dyDescent="0.4">
      <c r="A27" s="133"/>
      <c r="B27" s="134"/>
      <c r="C27" s="135"/>
      <c r="D27" s="135"/>
      <c r="E27" s="136"/>
      <c r="F27" s="1"/>
    </row>
    <row r="28" spans="1:6" s="68" customFormat="1" ht="25.5" x14ac:dyDescent="0.35">
      <c r="A28" s="172" t="s">
        <v>147</v>
      </c>
      <c r="B28" s="173">
        <f>166.88</f>
        <v>166.88</v>
      </c>
      <c r="C28" s="188" t="s">
        <v>162</v>
      </c>
      <c r="D28" s="189" t="s">
        <v>163</v>
      </c>
      <c r="E28" s="190" t="s">
        <v>164</v>
      </c>
      <c r="F28" s="1"/>
    </row>
    <row r="29" spans="1:6" s="68" customFormat="1" ht="13.15" thickBot="1" x14ac:dyDescent="0.4">
      <c r="A29" s="174">
        <v>43658</v>
      </c>
      <c r="B29" s="175">
        <f>110</f>
        <v>110</v>
      </c>
      <c r="C29" s="191"/>
      <c r="D29" s="191" t="s">
        <v>165</v>
      </c>
      <c r="E29" s="192" t="s">
        <v>166</v>
      </c>
      <c r="F29" s="1"/>
    </row>
    <row r="30" spans="1:6" s="68" customFormat="1" x14ac:dyDescent="0.35">
      <c r="A30" s="172">
        <v>43662</v>
      </c>
      <c r="B30" s="173">
        <f>368</f>
        <v>368</v>
      </c>
      <c r="C30" s="193" t="s">
        <v>167</v>
      </c>
      <c r="D30" s="189" t="s">
        <v>168</v>
      </c>
      <c r="E30" s="190"/>
      <c r="F30" s="1"/>
    </row>
    <row r="31" spans="1:6" s="68" customFormat="1" ht="13.15" thickBot="1" x14ac:dyDescent="0.4">
      <c r="A31" s="174">
        <v>43662</v>
      </c>
      <c r="B31" s="175">
        <f>60.43</f>
        <v>60.43</v>
      </c>
      <c r="C31" s="191"/>
      <c r="D31" s="191" t="s">
        <v>163</v>
      </c>
      <c r="E31" s="192" t="s">
        <v>127</v>
      </c>
      <c r="F31" s="1"/>
    </row>
    <row r="32" spans="1:6" s="68" customFormat="1" x14ac:dyDescent="0.35">
      <c r="A32" s="172">
        <v>43672</v>
      </c>
      <c r="B32" s="173">
        <f>20.1</f>
        <v>20.100000000000001</v>
      </c>
      <c r="C32" s="188" t="s">
        <v>169</v>
      </c>
      <c r="D32" s="189" t="s">
        <v>170</v>
      </c>
      <c r="E32" s="190" t="s">
        <v>127</v>
      </c>
      <c r="F32" s="1"/>
    </row>
    <row r="33" spans="1:6" s="68" customFormat="1" ht="13.15" thickBot="1" x14ac:dyDescent="0.4">
      <c r="A33" s="174">
        <v>43672</v>
      </c>
      <c r="B33" s="175">
        <f>450+118.8</f>
        <v>568.79999999999995</v>
      </c>
      <c r="C33" s="191"/>
      <c r="D33" s="191" t="s">
        <v>171</v>
      </c>
      <c r="E33" s="192"/>
      <c r="F33" s="1"/>
    </row>
    <row r="34" spans="1:6" s="68" customFormat="1" ht="25.5" x14ac:dyDescent="0.35">
      <c r="A34" s="172" t="s">
        <v>148</v>
      </c>
      <c r="B34" s="173">
        <f>182.16</f>
        <v>182.16</v>
      </c>
      <c r="C34" s="135" t="s">
        <v>172</v>
      </c>
      <c r="D34" s="189" t="s">
        <v>163</v>
      </c>
      <c r="E34" s="190" t="s">
        <v>173</v>
      </c>
      <c r="F34" s="1"/>
    </row>
    <row r="35" spans="1:6" s="68" customFormat="1" ht="13.15" thickBot="1" x14ac:dyDescent="0.4">
      <c r="A35" s="174">
        <v>43679</v>
      </c>
      <c r="B35" s="175">
        <f>155</f>
        <v>155</v>
      </c>
      <c r="C35" s="191"/>
      <c r="D35" s="191" t="s">
        <v>174</v>
      </c>
      <c r="E35" s="192" t="s">
        <v>175</v>
      </c>
      <c r="F35" s="1"/>
    </row>
    <row r="36" spans="1:6" s="68" customFormat="1" x14ac:dyDescent="0.35">
      <c r="A36" s="172" t="s">
        <v>149</v>
      </c>
      <c r="B36" s="173">
        <f>404+118.8+10+10</f>
        <v>542.79999999999995</v>
      </c>
      <c r="C36" s="188" t="s">
        <v>176</v>
      </c>
      <c r="D36" s="189" t="s">
        <v>177</v>
      </c>
      <c r="E36" s="190"/>
      <c r="F36" s="1"/>
    </row>
    <row r="37" spans="1:6" s="68" customFormat="1" x14ac:dyDescent="0.35">
      <c r="A37" s="176">
        <v>43693</v>
      </c>
      <c r="B37" s="134">
        <v>29.36</v>
      </c>
      <c r="C37" s="194"/>
      <c r="D37" s="135" t="s">
        <v>178</v>
      </c>
      <c r="E37" s="195" t="s">
        <v>131</v>
      </c>
      <c r="F37" s="1"/>
    </row>
    <row r="38" spans="1:6" s="68" customFormat="1" x14ac:dyDescent="0.35">
      <c r="A38" s="176">
        <v>43695</v>
      </c>
      <c r="B38" s="134">
        <v>21.23</v>
      </c>
      <c r="C38" s="194"/>
      <c r="D38" s="135" t="s">
        <v>179</v>
      </c>
      <c r="E38" s="195" t="s">
        <v>131</v>
      </c>
      <c r="F38" s="1"/>
    </row>
    <row r="39" spans="1:6" s="68" customFormat="1" ht="13.15" thickBot="1" x14ac:dyDescent="0.4">
      <c r="A39" s="174">
        <v>43695</v>
      </c>
      <c r="B39" s="175">
        <f>30.4</f>
        <v>30.4</v>
      </c>
      <c r="C39" s="191"/>
      <c r="D39" s="191" t="s">
        <v>180</v>
      </c>
      <c r="E39" s="192" t="s">
        <v>127</v>
      </c>
      <c r="F39" s="1"/>
    </row>
    <row r="40" spans="1:6" s="68" customFormat="1" x14ac:dyDescent="0.35">
      <c r="A40" s="172" t="s">
        <v>150</v>
      </c>
      <c r="B40" s="173">
        <f>385+118.8+10+10</f>
        <v>523.79999999999995</v>
      </c>
      <c r="C40" s="188" t="s">
        <v>181</v>
      </c>
      <c r="D40" s="189" t="s">
        <v>182</v>
      </c>
      <c r="E40" s="190"/>
      <c r="F40" s="1"/>
    </row>
    <row r="41" spans="1:6" s="68" customFormat="1" x14ac:dyDescent="0.35">
      <c r="A41" s="176" t="s">
        <v>150</v>
      </c>
      <c r="B41" s="134">
        <f>94.54</f>
        <v>94.54</v>
      </c>
      <c r="C41" s="196"/>
      <c r="D41" s="135" t="s">
        <v>163</v>
      </c>
      <c r="E41" s="195" t="s">
        <v>183</v>
      </c>
      <c r="F41" s="1"/>
    </row>
    <row r="42" spans="1:6" s="68" customFormat="1" ht="13.15" thickBot="1" x14ac:dyDescent="0.4">
      <c r="A42" s="174">
        <v>43696</v>
      </c>
      <c r="B42" s="175">
        <f>169</f>
        <v>169</v>
      </c>
      <c r="C42" s="191"/>
      <c r="D42" s="191" t="s">
        <v>165</v>
      </c>
      <c r="E42" s="192" t="s">
        <v>183</v>
      </c>
      <c r="F42" s="1"/>
    </row>
    <row r="43" spans="1:6" s="68" customFormat="1" ht="25.5" x14ac:dyDescent="0.35">
      <c r="A43" s="172">
        <v>43704</v>
      </c>
      <c r="B43" s="173">
        <v>42</v>
      </c>
      <c r="C43" s="188" t="s">
        <v>184</v>
      </c>
      <c r="D43" s="189" t="s">
        <v>185</v>
      </c>
      <c r="E43" s="190" t="s">
        <v>127</v>
      </c>
      <c r="F43" s="1"/>
    </row>
    <row r="44" spans="1:6" s="68" customFormat="1" x14ac:dyDescent="0.35">
      <c r="A44" s="176">
        <v>43704</v>
      </c>
      <c r="B44" s="134">
        <f>196+118.8+10+10+213</f>
        <v>547.79999999999995</v>
      </c>
      <c r="C44" s="135"/>
      <c r="D44" s="135" t="s">
        <v>177</v>
      </c>
      <c r="E44" s="195"/>
      <c r="F44" s="1"/>
    </row>
    <row r="45" spans="1:6" s="68" customFormat="1" ht="13.15" thickBot="1" x14ac:dyDescent="0.4">
      <c r="A45" s="174">
        <v>43704</v>
      </c>
      <c r="B45" s="175">
        <f>77.04</f>
        <v>77.040000000000006</v>
      </c>
      <c r="C45" s="197"/>
      <c r="D45" s="191" t="s">
        <v>163</v>
      </c>
      <c r="E45" s="192" t="s">
        <v>131</v>
      </c>
      <c r="F45" s="1"/>
    </row>
    <row r="46" spans="1:6" s="68" customFormat="1" x14ac:dyDescent="0.35">
      <c r="A46" s="172">
        <v>43711</v>
      </c>
      <c r="B46" s="173">
        <f>434+118.8</f>
        <v>552.79999999999995</v>
      </c>
      <c r="C46" s="188" t="s">
        <v>186</v>
      </c>
      <c r="D46" s="189" t="s">
        <v>177</v>
      </c>
      <c r="E46" s="190"/>
      <c r="F46" s="1"/>
    </row>
    <row r="47" spans="1:6" s="68" customFormat="1" x14ac:dyDescent="0.35">
      <c r="A47" s="176">
        <v>43711</v>
      </c>
      <c r="B47" s="134">
        <f>74.12</f>
        <v>74.12</v>
      </c>
      <c r="C47" s="196"/>
      <c r="D47" s="135" t="s">
        <v>163</v>
      </c>
      <c r="E47" s="195" t="s">
        <v>131</v>
      </c>
      <c r="F47" s="1"/>
    </row>
    <row r="48" spans="1:6" s="68" customFormat="1" ht="13.15" thickBot="1" x14ac:dyDescent="0.4">
      <c r="A48" s="174">
        <v>43711</v>
      </c>
      <c r="B48" s="175">
        <v>26</v>
      </c>
      <c r="C48" s="191"/>
      <c r="D48" s="191" t="s">
        <v>187</v>
      </c>
      <c r="E48" s="192" t="s">
        <v>131</v>
      </c>
      <c r="F48" s="1"/>
    </row>
    <row r="49" spans="1:6" s="68" customFormat="1" x14ac:dyDescent="0.35">
      <c r="A49" s="172">
        <v>43735</v>
      </c>
      <c r="B49" s="173">
        <v>24.39</v>
      </c>
      <c r="C49" s="196" t="s">
        <v>188</v>
      </c>
      <c r="D49" s="189" t="s">
        <v>170</v>
      </c>
      <c r="E49" s="190" t="s">
        <v>127</v>
      </c>
      <c r="F49" s="1"/>
    </row>
    <row r="50" spans="1:6" s="68" customFormat="1" x14ac:dyDescent="0.35">
      <c r="A50" s="177" t="s">
        <v>151</v>
      </c>
      <c r="B50" s="178">
        <f>590+79.2+10+10+40</f>
        <v>729.2</v>
      </c>
      <c r="C50" s="194"/>
      <c r="D50" s="198" t="s">
        <v>177</v>
      </c>
      <c r="E50" s="199"/>
      <c r="F50" s="1"/>
    </row>
    <row r="51" spans="1:6" s="68" customFormat="1" x14ac:dyDescent="0.35">
      <c r="A51" s="177" t="s">
        <v>151</v>
      </c>
      <c r="B51" s="178">
        <f>244.41</f>
        <v>244.41</v>
      </c>
      <c r="C51" s="196"/>
      <c r="D51" s="198" t="s">
        <v>163</v>
      </c>
      <c r="E51" s="199" t="s">
        <v>131</v>
      </c>
      <c r="F51" s="1"/>
    </row>
    <row r="52" spans="1:6" s="68" customFormat="1" ht="13.15" thickBot="1" x14ac:dyDescent="0.4">
      <c r="A52" s="179">
        <v>43737</v>
      </c>
      <c r="B52" s="180">
        <f>30.7</f>
        <v>30.7</v>
      </c>
      <c r="C52" s="191"/>
      <c r="D52" s="200" t="s">
        <v>189</v>
      </c>
      <c r="E52" s="201" t="s">
        <v>127</v>
      </c>
      <c r="F52" s="1"/>
    </row>
    <row r="53" spans="1:6" s="68" customFormat="1" ht="25.5" x14ac:dyDescent="0.35">
      <c r="A53" s="172">
        <v>43741</v>
      </c>
      <c r="B53" s="173">
        <v>24.23</v>
      </c>
      <c r="C53" s="188" t="s">
        <v>190</v>
      </c>
      <c r="D53" s="189" t="s">
        <v>170</v>
      </c>
      <c r="E53" s="190" t="s">
        <v>127</v>
      </c>
      <c r="F53" s="1"/>
    </row>
    <row r="54" spans="1:6" s="68" customFormat="1" x14ac:dyDescent="0.35">
      <c r="A54" s="176" t="s">
        <v>152</v>
      </c>
      <c r="B54" s="134">
        <f>645+118.8+10+10+165</f>
        <v>948.8</v>
      </c>
      <c r="C54" s="196"/>
      <c r="D54" s="135" t="s">
        <v>191</v>
      </c>
      <c r="E54" s="195"/>
      <c r="F54" s="1"/>
    </row>
    <row r="55" spans="1:6" s="68" customFormat="1" x14ac:dyDescent="0.35">
      <c r="A55" s="176">
        <v>43741</v>
      </c>
      <c r="B55" s="134">
        <f>97.5</f>
        <v>97.5</v>
      </c>
      <c r="C55" s="196"/>
      <c r="D55" s="135" t="s">
        <v>192</v>
      </c>
      <c r="E55" s="195" t="s">
        <v>193</v>
      </c>
      <c r="F55" s="1"/>
    </row>
    <row r="56" spans="1:6" s="68" customFormat="1" x14ac:dyDescent="0.35">
      <c r="A56" s="176">
        <v>43741</v>
      </c>
      <c r="B56" s="134">
        <f>87.5+87.5</f>
        <v>175</v>
      </c>
      <c r="C56" s="135"/>
      <c r="D56" s="135" t="s">
        <v>165</v>
      </c>
      <c r="E56" s="195" t="s">
        <v>193</v>
      </c>
      <c r="F56" s="1"/>
    </row>
    <row r="57" spans="1:6" s="68" customFormat="1" x14ac:dyDescent="0.35">
      <c r="A57" s="176">
        <v>43741</v>
      </c>
      <c r="B57" s="134">
        <f>30.2+30.2</f>
        <v>60.4</v>
      </c>
      <c r="C57" s="135"/>
      <c r="D57" s="135" t="s">
        <v>194</v>
      </c>
      <c r="E57" s="195" t="s">
        <v>193</v>
      </c>
      <c r="F57" s="1"/>
    </row>
    <row r="58" spans="1:6" s="68" customFormat="1" x14ac:dyDescent="0.35">
      <c r="A58" s="176">
        <v>43742</v>
      </c>
      <c r="B58" s="134">
        <v>38</v>
      </c>
      <c r="C58" s="135"/>
      <c r="D58" s="135" t="s">
        <v>140</v>
      </c>
      <c r="E58" s="195" t="s">
        <v>193</v>
      </c>
      <c r="F58" s="1"/>
    </row>
    <row r="59" spans="1:6" s="68" customFormat="1" x14ac:dyDescent="0.35">
      <c r="A59" s="176" t="s">
        <v>153</v>
      </c>
      <c r="B59" s="134">
        <v>12.6</v>
      </c>
      <c r="C59" s="135"/>
      <c r="D59" s="135" t="s">
        <v>187</v>
      </c>
      <c r="E59" s="195" t="s">
        <v>195</v>
      </c>
      <c r="F59" s="1"/>
    </row>
    <row r="60" spans="1:6" s="68" customFormat="1" x14ac:dyDescent="0.35">
      <c r="A60" s="176">
        <v>43742</v>
      </c>
      <c r="B60" s="134">
        <v>24.8</v>
      </c>
      <c r="C60" s="135"/>
      <c r="D60" s="135" t="s">
        <v>194</v>
      </c>
      <c r="E60" s="195" t="s">
        <v>195</v>
      </c>
      <c r="F60" s="1"/>
    </row>
    <row r="61" spans="1:6" s="68" customFormat="1" x14ac:dyDescent="0.35">
      <c r="A61" s="176">
        <v>43742</v>
      </c>
      <c r="B61" s="181">
        <v>208</v>
      </c>
      <c r="C61" s="196"/>
      <c r="D61" s="202" t="s">
        <v>165</v>
      </c>
      <c r="E61" s="203" t="s">
        <v>195</v>
      </c>
      <c r="F61" s="1"/>
    </row>
    <row r="62" spans="1:6" s="68" customFormat="1" x14ac:dyDescent="0.35">
      <c r="A62" s="176">
        <v>43743</v>
      </c>
      <c r="B62" s="178">
        <v>27.7</v>
      </c>
      <c r="C62" s="135"/>
      <c r="D62" s="198" t="s">
        <v>196</v>
      </c>
      <c r="E62" s="199" t="s">
        <v>195</v>
      </c>
      <c r="F62" s="1"/>
    </row>
    <row r="63" spans="1:6" s="68" customFormat="1" ht="14.65" thickBot="1" x14ac:dyDescent="0.4">
      <c r="A63" s="182">
        <v>43747</v>
      </c>
      <c r="B63" s="183">
        <f>31.8</f>
        <v>31.8</v>
      </c>
      <c r="C63" s="204"/>
      <c r="D63" s="200" t="s">
        <v>180</v>
      </c>
      <c r="E63" s="201" t="s">
        <v>127</v>
      </c>
      <c r="F63" s="1"/>
    </row>
    <row r="64" spans="1:6" s="68" customFormat="1" x14ac:dyDescent="0.35">
      <c r="A64" s="172">
        <v>43776</v>
      </c>
      <c r="B64" s="173">
        <v>24.26</v>
      </c>
      <c r="C64" s="188" t="s">
        <v>197</v>
      </c>
      <c r="D64" s="189" t="s">
        <v>170</v>
      </c>
      <c r="E64" s="190" t="s">
        <v>127</v>
      </c>
      <c r="F64" s="1"/>
    </row>
    <row r="65" spans="1:6" s="68" customFormat="1" x14ac:dyDescent="0.35">
      <c r="A65" s="176" t="s">
        <v>154</v>
      </c>
      <c r="B65" s="134">
        <f>601+118.8+10+10</f>
        <v>739.8</v>
      </c>
      <c r="C65" s="194"/>
      <c r="D65" s="135" t="s">
        <v>177</v>
      </c>
      <c r="E65" s="195"/>
      <c r="F65" s="1"/>
    </row>
    <row r="66" spans="1:6" s="68" customFormat="1" ht="13.15" thickBot="1" x14ac:dyDescent="0.4">
      <c r="A66" s="174">
        <v>43780</v>
      </c>
      <c r="B66" s="175">
        <f>36.2</f>
        <v>36.200000000000003</v>
      </c>
      <c r="C66" s="197"/>
      <c r="D66" s="191" t="s">
        <v>198</v>
      </c>
      <c r="E66" s="192" t="s">
        <v>127</v>
      </c>
      <c r="F66" s="1"/>
    </row>
    <row r="67" spans="1:6" s="68" customFormat="1" x14ac:dyDescent="0.35">
      <c r="A67" s="172">
        <v>43783</v>
      </c>
      <c r="B67" s="173">
        <v>23.7</v>
      </c>
      <c r="C67" s="188" t="s">
        <v>199</v>
      </c>
      <c r="D67" s="189" t="s">
        <v>170</v>
      </c>
      <c r="E67" s="190" t="s">
        <v>127</v>
      </c>
      <c r="F67" s="1"/>
    </row>
    <row r="68" spans="1:6" s="68" customFormat="1" x14ac:dyDescent="0.35">
      <c r="A68" s="176" t="s">
        <v>155</v>
      </c>
      <c r="B68" s="134">
        <f>530+39.6+10+100+40</f>
        <v>719.6</v>
      </c>
      <c r="C68" s="135"/>
      <c r="D68" s="135" t="s">
        <v>177</v>
      </c>
      <c r="E68" s="195"/>
      <c r="F68" s="1"/>
    </row>
    <row r="69" spans="1:6" s="68" customFormat="1" x14ac:dyDescent="0.35">
      <c r="A69" s="176">
        <v>43783</v>
      </c>
      <c r="B69" s="134">
        <v>32.380000000000003</v>
      </c>
      <c r="C69" s="194"/>
      <c r="D69" s="135" t="s">
        <v>200</v>
      </c>
      <c r="E69" s="195" t="s">
        <v>131</v>
      </c>
      <c r="F69" s="1"/>
    </row>
    <row r="70" spans="1:6" s="68" customFormat="1" x14ac:dyDescent="0.35">
      <c r="A70" s="176">
        <v>43784</v>
      </c>
      <c r="B70" s="134">
        <v>31.33</v>
      </c>
      <c r="C70" s="194"/>
      <c r="D70" s="135" t="s">
        <v>179</v>
      </c>
      <c r="E70" s="195" t="s">
        <v>131</v>
      </c>
      <c r="F70" s="1"/>
    </row>
    <row r="71" spans="1:6" s="68" customFormat="1" x14ac:dyDescent="0.35">
      <c r="A71" s="176" t="s">
        <v>156</v>
      </c>
      <c r="B71" s="134">
        <f>335+59.4</f>
        <v>394.4</v>
      </c>
      <c r="C71" s="194"/>
      <c r="D71" s="135" t="s">
        <v>201</v>
      </c>
      <c r="E71" s="195"/>
      <c r="F71" s="1"/>
    </row>
    <row r="72" spans="1:6" s="68" customFormat="1" x14ac:dyDescent="0.35">
      <c r="A72" s="176" t="s">
        <v>156</v>
      </c>
      <c r="B72" s="134">
        <f>57.19</f>
        <v>57.19</v>
      </c>
      <c r="C72" s="194"/>
      <c r="D72" s="135" t="s">
        <v>202</v>
      </c>
      <c r="E72" s="195" t="s">
        <v>203</v>
      </c>
      <c r="F72" s="1"/>
    </row>
    <row r="73" spans="1:6" s="68" customFormat="1" ht="13.15" thickBot="1" x14ac:dyDescent="0.4">
      <c r="A73" s="174">
        <v>43784</v>
      </c>
      <c r="B73" s="175">
        <v>169</v>
      </c>
      <c r="C73" s="197"/>
      <c r="D73" s="191" t="s">
        <v>165</v>
      </c>
      <c r="E73" s="192" t="s">
        <v>204</v>
      </c>
      <c r="F73" s="1"/>
    </row>
    <row r="74" spans="1:6" s="68" customFormat="1" ht="13.15" thickBot="1" x14ac:dyDescent="0.4">
      <c r="A74" s="184">
        <v>43791</v>
      </c>
      <c r="B74" s="185">
        <f>630+138.6+163+10+70+10+66-247</f>
        <v>840.59999999999991</v>
      </c>
      <c r="C74" s="205" t="s">
        <v>205</v>
      </c>
      <c r="D74" s="206" t="s">
        <v>206</v>
      </c>
      <c r="E74" s="207"/>
      <c r="F74" s="1"/>
    </row>
    <row r="75" spans="1:6" s="68" customFormat="1" x14ac:dyDescent="0.35">
      <c r="A75" s="172">
        <v>43795</v>
      </c>
      <c r="B75" s="186">
        <v>23.22</v>
      </c>
      <c r="C75" s="208" t="s">
        <v>207</v>
      </c>
      <c r="D75" s="209" t="s">
        <v>170</v>
      </c>
      <c r="E75" s="190" t="s">
        <v>127</v>
      </c>
      <c r="F75" s="1"/>
    </row>
    <row r="76" spans="1:6" s="68" customFormat="1" x14ac:dyDescent="0.35">
      <c r="A76" s="176">
        <v>43795</v>
      </c>
      <c r="B76" s="134">
        <f>247*2</f>
        <v>494</v>
      </c>
      <c r="C76" s="135"/>
      <c r="D76" s="135" t="s">
        <v>208</v>
      </c>
      <c r="E76" s="195"/>
      <c r="F76" s="1"/>
    </row>
    <row r="77" spans="1:6" s="68" customFormat="1" x14ac:dyDescent="0.35">
      <c r="A77" s="187">
        <v>43795</v>
      </c>
      <c r="B77" s="181">
        <f>30</f>
        <v>30</v>
      </c>
      <c r="C77" s="196"/>
      <c r="D77" s="135" t="s">
        <v>209</v>
      </c>
      <c r="E77" s="203" t="s">
        <v>131</v>
      </c>
      <c r="F77" s="1"/>
    </row>
    <row r="78" spans="1:6" s="68" customFormat="1" ht="13.15" thickBot="1" x14ac:dyDescent="0.4">
      <c r="A78" s="174">
        <v>43795</v>
      </c>
      <c r="B78" s="175">
        <f>260</f>
        <v>260</v>
      </c>
      <c r="C78" s="191"/>
      <c r="D78" s="191" t="s">
        <v>165</v>
      </c>
      <c r="E78" s="192" t="s">
        <v>131</v>
      </c>
      <c r="F78" s="1"/>
    </row>
    <row r="79" spans="1:6" s="68" customFormat="1" x14ac:dyDescent="0.35">
      <c r="A79" s="172">
        <v>43805</v>
      </c>
      <c r="B79" s="173">
        <v>24.29</v>
      </c>
      <c r="C79" s="189" t="s">
        <v>210</v>
      </c>
      <c r="D79" s="189" t="s">
        <v>170</v>
      </c>
      <c r="E79" s="190" t="s">
        <v>127</v>
      </c>
      <c r="F79" s="1"/>
    </row>
    <row r="80" spans="1:6" s="68" customFormat="1" x14ac:dyDescent="0.35">
      <c r="A80" s="176" t="s">
        <v>157</v>
      </c>
      <c r="B80" s="134">
        <f>301+39.6+10+341+10-430+426+39.6</f>
        <v>737.2</v>
      </c>
      <c r="C80" s="196"/>
      <c r="D80" s="135" t="s">
        <v>177</v>
      </c>
      <c r="E80" s="195"/>
      <c r="F80" s="1"/>
    </row>
    <row r="81" spans="1:6" s="68" customFormat="1" x14ac:dyDescent="0.35">
      <c r="A81" s="176">
        <v>43808</v>
      </c>
      <c r="B81" s="134">
        <v>33.15</v>
      </c>
      <c r="C81" s="135"/>
      <c r="D81" s="135" t="s">
        <v>179</v>
      </c>
      <c r="E81" s="195" t="s">
        <v>131</v>
      </c>
      <c r="F81" s="1"/>
    </row>
    <row r="82" spans="1:6" s="68" customFormat="1" ht="13.15" thickBot="1" x14ac:dyDescent="0.4">
      <c r="A82" s="174">
        <v>43808</v>
      </c>
      <c r="B82" s="175">
        <f>30.1</f>
        <v>30.1</v>
      </c>
      <c r="C82" s="197"/>
      <c r="D82" s="191" t="s">
        <v>198</v>
      </c>
      <c r="E82" s="192" t="s">
        <v>127</v>
      </c>
      <c r="F82" s="1"/>
    </row>
    <row r="83" spans="1:6" s="68" customFormat="1" x14ac:dyDescent="0.35">
      <c r="A83" s="172" t="s">
        <v>158</v>
      </c>
      <c r="B83" s="173">
        <v>90</v>
      </c>
      <c r="C83" s="189" t="s">
        <v>211</v>
      </c>
      <c r="D83" s="189" t="s">
        <v>185</v>
      </c>
      <c r="E83" s="190" t="s">
        <v>127</v>
      </c>
      <c r="F83" s="1"/>
    </row>
    <row r="84" spans="1:6" s="68" customFormat="1" x14ac:dyDescent="0.35">
      <c r="A84" s="176" t="s">
        <v>158</v>
      </c>
      <c r="B84" s="134">
        <v>426</v>
      </c>
      <c r="C84" s="135"/>
      <c r="D84" s="135" t="s">
        <v>212</v>
      </c>
      <c r="E84" s="195"/>
      <c r="F84" s="1"/>
    </row>
    <row r="85" spans="1:6" s="68" customFormat="1" x14ac:dyDescent="0.35">
      <c r="A85" s="176" t="s">
        <v>158</v>
      </c>
      <c r="B85" s="134">
        <f>143.15</f>
        <v>143.15</v>
      </c>
      <c r="C85" s="196"/>
      <c r="D85" s="135" t="s">
        <v>163</v>
      </c>
      <c r="E85" s="195" t="s">
        <v>131</v>
      </c>
      <c r="F85" s="1"/>
    </row>
    <row r="86" spans="1:6" s="68" customFormat="1" ht="13.15" thickBot="1" x14ac:dyDescent="0.4">
      <c r="A86" s="187">
        <v>43817</v>
      </c>
      <c r="B86" s="181">
        <v>24.5</v>
      </c>
      <c r="C86" s="202"/>
      <c r="D86" s="202" t="s">
        <v>213</v>
      </c>
      <c r="E86" s="203" t="s">
        <v>131</v>
      </c>
      <c r="F86" s="1"/>
    </row>
    <row r="87" spans="1:6" s="68" customFormat="1" x14ac:dyDescent="0.35">
      <c r="A87" s="172">
        <v>43864</v>
      </c>
      <c r="B87" s="186">
        <f>34</f>
        <v>34</v>
      </c>
      <c r="C87" s="188" t="s">
        <v>214</v>
      </c>
      <c r="D87" s="209" t="s">
        <v>215</v>
      </c>
      <c r="E87" s="190" t="s">
        <v>127</v>
      </c>
      <c r="F87" s="1"/>
    </row>
    <row r="88" spans="1:6" s="68" customFormat="1" ht="13.15" thickBot="1" x14ac:dyDescent="0.4">
      <c r="A88" s="187">
        <v>43864</v>
      </c>
      <c r="B88" s="181">
        <f>409+79.2+40</f>
        <v>528.20000000000005</v>
      </c>
      <c r="C88" s="196"/>
      <c r="D88" s="202" t="s">
        <v>177</v>
      </c>
      <c r="E88" s="203"/>
      <c r="F88" s="1"/>
    </row>
    <row r="89" spans="1:6" s="68" customFormat="1" x14ac:dyDescent="0.35">
      <c r="A89" s="172">
        <v>43892</v>
      </c>
      <c r="B89" s="186">
        <v>45</v>
      </c>
      <c r="C89" s="188" t="s">
        <v>216</v>
      </c>
      <c r="D89" s="209" t="s">
        <v>185</v>
      </c>
      <c r="E89" s="190" t="s">
        <v>127</v>
      </c>
      <c r="F89" s="1"/>
    </row>
    <row r="90" spans="1:6" s="68" customFormat="1" ht="13.15" thickBot="1" x14ac:dyDescent="0.4">
      <c r="A90" s="179">
        <v>43892</v>
      </c>
      <c r="B90" s="180">
        <f>314+79.2+9+9</f>
        <v>411.2</v>
      </c>
      <c r="C90" s="197"/>
      <c r="D90" s="200" t="s">
        <v>177</v>
      </c>
      <c r="E90" s="201"/>
      <c r="F90" s="1"/>
    </row>
    <row r="91" spans="1:6" s="68" customFormat="1" x14ac:dyDescent="0.35">
      <c r="A91" s="172">
        <v>43894</v>
      </c>
      <c r="B91" s="173">
        <v>25.6</v>
      </c>
      <c r="C91" s="188" t="s">
        <v>217</v>
      </c>
      <c r="D91" s="189" t="s">
        <v>170</v>
      </c>
      <c r="E91" s="190" t="s">
        <v>127</v>
      </c>
      <c r="F91" s="1"/>
    </row>
    <row r="92" spans="1:6" s="68" customFormat="1" ht="13.15" thickBot="1" x14ac:dyDescent="0.4">
      <c r="A92" s="174">
        <v>43894</v>
      </c>
      <c r="B92" s="175">
        <f>374+79.2+10</f>
        <v>463.2</v>
      </c>
      <c r="C92" s="197"/>
      <c r="D92" s="191" t="s">
        <v>177</v>
      </c>
      <c r="E92" s="192"/>
      <c r="F92" s="1"/>
    </row>
    <row r="93" spans="1:6" s="68" customFormat="1" x14ac:dyDescent="0.35">
      <c r="A93" s="172">
        <v>43902</v>
      </c>
      <c r="B93" s="173">
        <v>24.69</v>
      </c>
      <c r="C93" s="188" t="s">
        <v>218</v>
      </c>
      <c r="D93" s="189" t="s">
        <v>170</v>
      </c>
      <c r="E93" s="190" t="s">
        <v>127</v>
      </c>
      <c r="F93" s="1"/>
    </row>
    <row r="94" spans="1:6" s="68" customFormat="1" x14ac:dyDescent="0.35">
      <c r="A94" s="176" t="s">
        <v>159</v>
      </c>
      <c r="B94" s="134">
        <f>344+118.8+10</f>
        <v>472.8</v>
      </c>
      <c r="C94" s="135"/>
      <c r="D94" s="135" t="s">
        <v>177</v>
      </c>
      <c r="E94" s="195"/>
      <c r="F94" s="1"/>
    </row>
    <row r="95" spans="1:6" s="68" customFormat="1" x14ac:dyDescent="0.35">
      <c r="A95" s="176" t="s">
        <v>159</v>
      </c>
      <c r="B95" s="134">
        <f>230.13</f>
        <v>230.13</v>
      </c>
      <c r="C95" s="135"/>
      <c r="D95" s="135" t="s">
        <v>163</v>
      </c>
      <c r="E95" s="195" t="s">
        <v>131</v>
      </c>
      <c r="F95" s="1"/>
    </row>
    <row r="96" spans="1:6" s="68" customFormat="1" ht="13.15" thickBot="1" x14ac:dyDescent="0.4">
      <c r="A96" s="174">
        <v>43904</v>
      </c>
      <c r="B96" s="175">
        <f>30.8</f>
        <v>30.8</v>
      </c>
      <c r="C96" s="197"/>
      <c r="D96" s="191" t="s">
        <v>219</v>
      </c>
      <c r="E96" s="192" t="s">
        <v>127</v>
      </c>
      <c r="F96" s="1"/>
    </row>
    <row r="97" spans="1:6" s="68" customFormat="1" x14ac:dyDescent="0.35">
      <c r="A97" s="172">
        <v>43910</v>
      </c>
      <c r="B97" s="173">
        <v>23.63</v>
      </c>
      <c r="C97" s="188" t="s">
        <v>220</v>
      </c>
      <c r="D97" s="189" t="s">
        <v>170</v>
      </c>
      <c r="E97" s="190" t="s">
        <v>127</v>
      </c>
      <c r="F97" s="1"/>
    </row>
    <row r="98" spans="1:6" s="68" customFormat="1" x14ac:dyDescent="0.35">
      <c r="A98" s="176">
        <v>43910</v>
      </c>
      <c r="B98" s="134">
        <f>344+118.8</f>
        <v>462.8</v>
      </c>
      <c r="C98" s="196"/>
      <c r="D98" s="135" t="s">
        <v>177</v>
      </c>
      <c r="E98" s="195"/>
      <c r="F98" s="1"/>
    </row>
    <row r="99" spans="1:6" s="68" customFormat="1" ht="13.15" thickBot="1" x14ac:dyDescent="0.4">
      <c r="A99" s="174">
        <v>43910</v>
      </c>
      <c r="B99" s="175">
        <f>80.75</f>
        <v>80.75</v>
      </c>
      <c r="C99" s="197"/>
      <c r="D99" s="191" t="s">
        <v>163</v>
      </c>
      <c r="E99" s="192" t="s">
        <v>131</v>
      </c>
      <c r="F99" s="1"/>
    </row>
    <row r="100" spans="1:6" s="68" customFormat="1" ht="25.9" thickBot="1" x14ac:dyDescent="0.4">
      <c r="A100" s="168" t="s">
        <v>160</v>
      </c>
      <c r="B100" s="134">
        <f>245+99-59.4+9-187</f>
        <v>106.60000000000002</v>
      </c>
      <c r="C100" s="196" t="s">
        <v>221</v>
      </c>
      <c r="D100" s="135" t="s">
        <v>177</v>
      </c>
      <c r="E100" s="136"/>
      <c r="F100" s="1"/>
    </row>
    <row r="101" spans="1:6" s="68" customFormat="1" ht="25.5" x14ac:dyDescent="0.35">
      <c r="A101" s="172">
        <v>44001</v>
      </c>
      <c r="B101" s="173">
        <v>43.98</v>
      </c>
      <c r="C101" s="189" t="s">
        <v>222</v>
      </c>
      <c r="D101" s="189" t="s">
        <v>170</v>
      </c>
      <c r="E101" s="190" t="s">
        <v>127</v>
      </c>
      <c r="F101" s="1"/>
    </row>
    <row r="102" spans="1:6" s="68" customFormat="1" x14ac:dyDescent="0.35">
      <c r="A102" s="176" t="s">
        <v>161</v>
      </c>
      <c r="B102" s="134">
        <f>464+118.8+10+30+9</f>
        <v>631.79999999999995</v>
      </c>
      <c r="C102" s="135"/>
      <c r="D102" s="135" t="s">
        <v>177</v>
      </c>
      <c r="E102" s="195"/>
      <c r="F102" s="1"/>
    </row>
    <row r="103" spans="1:6" s="68" customFormat="1" x14ac:dyDescent="0.35">
      <c r="A103" s="176" t="s">
        <v>161</v>
      </c>
      <c r="B103" s="134">
        <f>314.33</f>
        <v>314.33</v>
      </c>
      <c r="C103" s="135"/>
      <c r="D103" s="135" t="s">
        <v>163</v>
      </c>
      <c r="E103" s="195" t="s">
        <v>131</v>
      </c>
      <c r="F103" s="1"/>
    </row>
    <row r="104" spans="1:6" s="68" customFormat="1" ht="13.15" thickBot="1" x14ac:dyDescent="0.4">
      <c r="A104" s="174">
        <v>44003</v>
      </c>
      <c r="B104" s="175">
        <v>32.700000000000003</v>
      </c>
      <c r="C104" s="191"/>
      <c r="D104" s="191" t="s">
        <v>180</v>
      </c>
      <c r="E104" s="192" t="s">
        <v>127</v>
      </c>
      <c r="F104" s="1"/>
    </row>
    <row r="105" spans="1:6" s="68" customFormat="1" x14ac:dyDescent="0.35">
      <c r="A105" s="133"/>
      <c r="B105" s="134"/>
      <c r="C105" s="135"/>
      <c r="D105" s="135"/>
      <c r="E105" s="136"/>
      <c r="F105" s="1"/>
    </row>
    <row r="106" spans="1:6" s="68" customFormat="1" x14ac:dyDescent="0.35">
      <c r="A106" s="133"/>
      <c r="B106" s="134"/>
      <c r="C106" s="135"/>
      <c r="D106" s="135"/>
      <c r="E106" s="136"/>
      <c r="F106" s="1"/>
    </row>
    <row r="107" spans="1:6" s="68" customFormat="1" x14ac:dyDescent="0.35">
      <c r="A107" s="133"/>
      <c r="B107" s="134"/>
      <c r="C107" s="135"/>
      <c r="D107" s="135"/>
      <c r="E107" s="136"/>
      <c r="F107" s="1"/>
    </row>
    <row r="108" spans="1:6" s="68" customFormat="1" x14ac:dyDescent="0.35">
      <c r="A108" s="133"/>
      <c r="B108" s="134"/>
      <c r="C108" s="135"/>
      <c r="D108" s="135"/>
      <c r="E108" s="136"/>
      <c r="F108" s="1"/>
    </row>
    <row r="109" spans="1:6" s="68" customFormat="1" x14ac:dyDescent="0.35">
      <c r="A109" s="133"/>
      <c r="B109" s="134"/>
      <c r="C109" s="135"/>
      <c r="D109" s="135"/>
      <c r="E109" s="136"/>
      <c r="F109" s="1"/>
    </row>
    <row r="110" spans="1:6" s="68" customFormat="1" x14ac:dyDescent="0.35">
      <c r="A110" s="133"/>
      <c r="B110" s="134"/>
      <c r="C110" s="135"/>
      <c r="D110" s="135"/>
      <c r="E110" s="136"/>
      <c r="F110" s="1"/>
    </row>
    <row r="111" spans="1:6" s="68" customFormat="1" hidden="1" x14ac:dyDescent="0.35">
      <c r="A111" s="124"/>
      <c r="B111" s="125"/>
      <c r="C111" s="126"/>
      <c r="D111" s="126"/>
      <c r="E111" s="127"/>
      <c r="F111" s="1"/>
    </row>
    <row r="112" spans="1:6" ht="19.5" customHeight="1" x14ac:dyDescent="0.35">
      <c r="A112" s="86" t="s">
        <v>76</v>
      </c>
      <c r="B112" s="87">
        <f>SUM(B26:B111)</f>
        <v>16386.07</v>
      </c>
      <c r="C112" s="144" t="str">
        <f>IF(SUBTOTAL(3,B26:B111)=SUBTOTAL(103,B26:B111),'Summary and sign-off'!$A$48,'Summary and sign-off'!$A$49)</f>
        <v>Check - there are no hidden rows with data</v>
      </c>
      <c r="D112" s="152" t="str">
        <f>IF('Summary and sign-off'!F56='Summary and sign-off'!F54,'Summary and sign-off'!A51,'Summary and sign-off'!A50)</f>
        <v>Check - each entry provides sufficient information</v>
      </c>
      <c r="E112" s="152"/>
      <c r="F112" s="46"/>
    </row>
    <row r="113" spans="1:6" ht="10.5" customHeight="1" x14ac:dyDescent="0.4">
      <c r="A113" s="27"/>
      <c r="B113" s="22"/>
      <c r="C113" s="27"/>
      <c r="D113" s="27"/>
      <c r="E113" s="27"/>
      <c r="F113" s="27"/>
    </row>
    <row r="114" spans="1:6" ht="24.75" customHeight="1" x14ac:dyDescent="0.35">
      <c r="A114" s="153" t="s">
        <v>77</v>
      </c>
      <c r="B114" s="153"/>
      <c r="C114" s="153"/>
      <c r="D114" s="153"/>
      <c r="E114" s="153"/>
      <c r="F114" s="46"/>
    </row>
    <row r="115" spans="1:6" ht="27" customHeight="1" x14ac:dyDescent="0.35">
      <c r="A115" s="35" t="s">
        <v>68</v>
      </c>
      <c r="B115" s="35" t="s">
        <v>13</v>
      </c>
      <c r="C115" s="35" t="s">
        <v>78</v>
      </c>
      <c r="D115" s="35" t="s">
        <v>79</v>
      </c>
      <c r="E115" s="35" t="s">
        <v>72</v>
      </c>
      <c r="F115" s="49"/>
    </row>
    <row r="116" spans="1:6" s="68" customFormat="1" hidden="1" x14ac:dyDescent="0.35">
      <c r="A116" s="111"/>
      <c r="B116" s="112"/>
      <c r="C116" s="113"/>
      <c r="D116" s="113"/>
      <c r="E116" s="114"/>
      <c r="F116" s="1"/>
    </row>
    <row r="117" spans="1:6" s="68" customFormat="1" x14ac:dyDescent="0.35">
      <c r="A117" s="133"/>
      <c r="B117" s="134"/>
      <c r="C117" s="135"/>
      <c r="D117" s="135"/>
      <c r="E117" s="136"/>
      <c r="F117" s="1"/>
    </row>
    <row r="118" spans="1:6" s="68" customFormat="1" x14ac:dyDescent="0.35">
      <c r="A118" s="210">
        <v>43668</v>
      </c>
      <c r="B118" s="134">
        <f>9.5</f>
        <v>9.5</v>
      </c>
      <c r="C118" s="196" t="s">
        <v>223</v>
      </c>
      <c r="D118" s="198" t="s">
        <v>187</v>
      </c>
      <c r="E118" s="198" t="s">
        <v>127</v>
      </c>
      <c r="F118" s="1"/>
    </row>
    <row r="119" spans="1:6" s="68" customFormat="1" x14ac:dyDescent="0.35">
      <c r="A119" s="211">
        <v>43669</v>
      </c>
      <c r="B119" s="134">
        <f>9.5</f>
        <v>9.5</v>
      </c>
      <c r="C119" s="196" t="s">
        <v>224</v>
      </c>
      <c r="D119" s="212" t="s">
        <v>213</v>
      </c>
      <c r="E119" s="213" t="s">
        <v>127</v>
      </c>
      <c r="F119" s="1"/>
    </row>
    <row r="120" spans="1:6" s="68" customFormat="1" x14ac:dyDescent="0.35">
      <c r="A120" s="168">
        <v>43671</v>
      </c>
      <c r="B120" s="134">
        <f>24.5</f>
        <v>24.5</v>
      </c>
      <c r="C120" s="135" t="s">
        <v>225</v>
      </c>
      <c r="D120" s="135" t="s">
        <v>187</v>
      </c>
      <c r="E120" s="136" t="s">
        <v>127</v>
      </c>
      <c r="F120" s="1"/>
    </row>
    <row r="121" spans="1:6" s="68" customFormat="1" x14ac:dyDescent="0.35">
      <c r="A121" s="168">
        <v>43720</v>
      </c>
      <c r="B121" s="134">
        <v>8</v>
      </c>
      <c r="C121" s="196" t="s">
        <v>226</v>
      </c>
      <c r="D121" s="135" t="s">
        <v>187</v>
      </c>
      <c r="E121" s="136" t="s">
        <v>127</v>
      </c>
      <c r="F121" s="1"/>
    </row>
    <row r="122" spans="1:6" s="68" customFormat="1" x14ac:dyDescent="0.35">
      <c r="A122" s="168">
        <v>43733</v>
      </c>
      <c r="B122" s="134">
        <v>11.33</v>
      </c>
      <c r="C122" s="196" t="s">
        <v>227</v>
      </c>
      <c r="D122" s="135" t="s">
        <v>228</v>
      </c>
      <c r="E122" s="136" t="s">
        <v>127</v>
      </c>
      <c r="F122" s="1"/>
    </row>
    <row r="123" spans="1:6" s="68" customFormat="1" x14ac:dyDescent="0.35">
      <c r="A123" s="168">
        <v>43803</v>
      </c>
      <c r="B123" s="134">
        <v>28.6</v>
      </c>
      <c r="C123" s="135" t="s">
        <v>229</v>
      </c>
      <c r="D123" s="135" t="s">
        <v>213</v>
      </c>
      <c r="E123" s="136" t="s">
        <v>127</v>
      </c>
      <c r="F123" s="1"/>
    </row>
    <row r="124" spans="1:6" s="68" customFormat="1" x14ac:dyDescent="0.35">
      <c r="A124" s="168">
        <v>43896</v>
      </c>
      <c r="B124" s="134">
        <f>31.8</f>
        <v>31.8</v>
      </c>
      <c r="C124" s="135" t="s">
        <v>230</v>
      </c>
      <c r="D124" s="135" t="s">
        <v>231</v>
      </c>
      <c r="E124" s="136" t="s">
        <v>127</v>
      </c>
      <c r="F124" s="1"/>
    </row>
    <row r="125" spans="1:6" s="68" customFormat="1" x14ac:dyDescent="0.35">
      <c r="A125" s="168">
        <v>43896</v>
      </c>
      <c r="B125" s="134">
        <v>8.6</v>
      </c>
      <c r="C125" s="135" t="s">
        <v>232</v>
      </c>
      <c r="D125" s="135" t="s">
        <v>213</v>
      </c>
      <c r="E125" s="136" t="s">
        <v>127</v>
      </c>
      <c r="F125" s="1"/>
    </row>
    <row r="126" spans="1:6" s="68" customFormat="1" x14ac:dyDescent="0.35">
      <c r="A126" s="168">
        <v>43896</v>
      </c>
      <c r="B126" s="134">
        <v>6</v>
      </c>
      <c r="C126" s="135" t="s">
        <v>233</v>
      </c>
      <c r="D126" s="135" t="s">
        <v>213</v>
      </c>
      <c r="E126" s="136" t="s">
        <v>127</v>
      </c>
      <c r="F126" s="1"/>
    </row>
    <row r="127" spans="1:6" s="68" customFormat="1" x14ac:dyDescent="0.35">
      <c r="A127" s="168">
        <v>43986</v>
      </c>
      <c r="B127" s="134">
        <v>9.5</v>
      </c>
      <c r="C127" s="135" t="s">
        <v>234</v>
      </c>
      <c r="D127" s="135" t="s">
        <v>187</v>
      </c>
      <c r="E127" s="136" t="s">
        <v>127</v>
      </c>
      <c r="F127" s="1"/>
    </row>
    <row r="128" spans="1:6" s="68" customFormat="1" x14ac:dyDescent="0.35">
      <c r="A128" s="168">
        <v>43987</v>
      </c>
      <c r="B128" s="134">
        <v>9.5</v>
      </c>
      <c r="C128" s="135" t="s">
        <v>235</v>
      </c>
      <c r="D128" s="135" t="s">
        <v>187</v>
      </c>
      <c r="E128" s="136" t="s">
        <v>127</v>
      </c>
      <c r="F128" s="1"/>
    </row>
    <row r="129" spans="1:6" s="68" customFormat="1" x14ac:dyDescent="0.35">
      <c r="A129" s="133"/>
      <c r="B129" s="134"/>
      <c r="C129" s="135"/>
      <c r="D129" s="135"/>
      <c r="E129" s="136"/>
      <c r="F129" s="1"/>
    </row>
    <row r="130" spans="1:6" s="68" customFormat="1" x14ac:dyDescent="0.35">
      <c r="A130" s="133"/>
      <c r="B130" s="134"/>
      <c r="C130" s="135"/>
      <c r="D130" s="135"/>
      <c r="E130" s="136"/>
      <c r="F130" s="1"/>
    </row>
    <row r="131" spans="1:6" s="68" customFormat="1" x14ac:dyDescent="0.35">
      <c r="A131" s="133"/>
      <c r="B131" s="134"/>
      <c r="C131" s="135"/>
      <c r="D131" s="135"/>
      <c r="E131" s="136"/>
      <c r="F131" s="1"/>
    </row>
    <row r="132" spans="1:6" s="68" customFormat="1" x14ac:dyDescent="0.35">
      <c r="A132" s="133"/>
      <c r="B132" s="134"/>
      <c r="C132" s="135"/>
      <c r="D132" s="135"/>
      <c r="E132" s="136"/>
      <c r="F132" s="1"/>
    </row>
    <row r="133" spans="1:6" s="68" customFormat="1" x14ac:dyDescent="0.35">
      <c r="A133" s="133"/>
      <c r="B133" s="134"/>
      <c r="C133" s="135"/>
      <c r="D133" s="135"/>
      <c r="E133" s="136"/>
      <c r="F133" s="1"/>
    </row>
    <row r="134" spans="1:6" s="68" customFormat="1" x14ac:dyDescent="0.35">
      <c r="A134" s="133"/>
      <c r="B134" s="134"/>
      <c r="C134" s="135"/>
      <c r="D134" s="135"/>
      <c r="E134" s="136"/>
      <c r="F134" s="1"/>
    </row>
    <row r="135" spans="1:6" s="68" customFormat="1" x14ac:dyDescent="0.35">
      <c r="A135" s="133"/>
      <c r="B135" s="134"/>
      <c r="C135" s="135"/>
      <c r="D135" s="135"/>
      <c r="E135" s="136"/>
      <c r="F135" s="1"/>
    </row>
    <row r="136" spans="1:6" s="68" customFormat="1" hidden="1" x14ac:dyDescent="0.35">
      <c r="A136" s="111"/>
      <c r="B136" s="112"/>
      <c r="C136" s="113"/>
      <c r="D136" s="113"/>
      <c r="E136" s="114"/>
      <c r="F136" s="1"/>
    </row>
    <row r="137" spans="1:6" ht="19.5" customHeight="1" x14ac:dyDescent="0.35">
      <c r="A137" s="86" t="s">
        <v>80</v>
      </c>
      <c r="B137" s="87">
        <f>SUM(B116:B136)</f>
        <v>156.83000000000001</v>
      </c>
      <c r="C137" s="144" t="str">
        <f>IF(SUBTOTAL(3,B116:B136)=SUBTOTAL(103,B116:B136),'Summary and sign-off'!$A$48,'Summary and sign-off'!$A$49)</f>
        <v>Check - there are no hidden rows with data</v>
      </c>
      <c r="D137" s="152" t="str">
        <f>IF('Summary and sign-off'!F57='Summary and sign-off'!F54,'Summary and sign-off'!A51,'Summary and sign-off'!A50)</f>
        <v>Check - each entry provides sufficient information</v>
      </c>
      <c r="E137" s="152"/>
      <c r="F137" s="46"/>
    </row>
    <row r="138" spans="1:6" ht="10.5" customHeight="1" x14ac:dyDescent="0.4">
      <c r="A138" s="27"/>
      <c r="B138" s="73"/>
      <c r="C138" s="22"/>
      <c r="D138" s="27"/>
      <c r="E138" s="27"/>
      <c r="F138" s="27"/>
    </row>
    <row r="139" spans="1:6" ht="34.5" customHeight="1" x14ac:dyDescent="0.35">
      <c r="A139" s="50" t="s">
        <v>81</v>
      </c>
      <c r="B139" s="74">
        <f>B22+B112+B137</f>
        <v>16542.900000000001</v>
      </c>
      <c r="C139" s="51"/>
      <c r="D139" s="51"/>
      <c r="E139" s="51"/>
      <c r="F139" s="26"/>
    </row>
    <row r="140" spans="1:6" ht="13.15" x14ac:dyDescent="0.4">
      <c r="A140" s="27"/>
      <c r="B140" s="22"/>
      <c r="C140" s="27"/>
      <c r="D140" s="27"/>
      <c r="E140" s="27"/>
      <c r="F140" s="27"/>
    </row>
    <row r="141" spans="1:6" ht="13.15" x14ac:dyDescent="0.4">
      <c r="A141" s="52" t="s">
        <v>24</v>
      </c>
      <c r="B141" s="25"/>
      <c r="C141" s="26"/>
      <c r="D141" s="26"/>
      <c r="E141" s="26"/>
      <c r="F141" s="27"/>
    </row>
    <row r="142" spans="1:6" ht="12.7" customHeight="1" x14ac:dyDescent="0.35">
      <c r="A142" s="23" t="s">
        <v>82</v>
      </c>
      <c r="B142" s="53"/>
      <c r="C142" s="53"/>
      <c r="D142" s="32"/>
      <c r="E142" s="32"/>
      <c r="F142" s="27"/>
    </row>
    <row r="143" spans="1:6" ht="13.05" customHeight="1" x14ac:dyDescent="0.35">
      <c r="A143" s="31" t="s">
        <v>83</v>
      </c>
      <c r="B143" s="27"/>
      <c r="C143" s="32"/>
      <c r="D143" s="27"/>
      <c r="E143" s="32"/>
      <c r="F143" s="27"/>
    </row>
    <row r="144" spans="1:6" x14ac:dyDescent="0.35">
      <c r="A144" s="31" t="s">
        <v>84</v>
      </c>
      <c r="B144" s="32"/>
      <c r="C144" s="32"/>
      <c r="D144" s="32"/>
      <c r="E144" s="54"/>
      <c r="F144" s="46"/>
    </row>
    <row r="145" spans="1:6" ht="13.15" x14ac:dyDescent="0.4">
      <c r="A145" s="23" t="s">
        <v>30</v>
      </c>
      <c r="B145" s="25"/>
      <c r="C145" s="26"/>
      <c r="D145" s="26"/>
      <c r="E145" s="26"/>
      <c r="F145" s="27"/>
    </row>
    <row r="146" spans="1:6" ht="13.05" customHeight="1" x14ac:dyDescent="0.35">
      <c r="A146" s="31" t="s">
        <v>85</v>
      </c>
      <c r="B146" s="27"/>
      <c r="C146" s="32"/>
      <c r="D146" s="27"/>
      <c r="E146" s="32"/>
      <c r="F146" s="27"/>
    </row>
    <row r="147" spans="1:6" x14ac:dyDescent="0.35">
      <c r="A147" s="31" t="s">
        <v>86</v>
      </c>
      <c r="B147" s="32"/>
      <c r="C147" s="32"/>
      <c r="D147" s="32"/>
      <c r="E147" s="54"/>
      <c r="F147" s="46"/>
    </row>
    <row r="148" spans="1:6" x14ac:dyDescent="0.35">
      <c r="A148" s="36" t="s">
        <v>87</v>
      </c>
      <c r="B148" s="36"/>
      <c r="C148" s="36"/>
      <c r="D148" s="36"/>
      <c r="E148" s="54"/>
      <c r="F148" s="46"/>
    </row>
    <row r="149" spans="1:6" x14ac:dyDescent="0.35">
      <c r="A149" s="40"/>
      <c r="B149" s="27"/>
      <c r="C149" s="27"/>
      <c r="D149" s="27"/>
      <c r="E149" s="46"/>
      <c r="F149" s="46"/>
    </row>
    <row r="150" spans="1:6" hidden="1" x14ac:dyDescent="0.35">
      <c r="A150" s="40"/>
      <c r="B150" s="27"/>
      <c r="C150" s="27"/>
      <c r="D150" s="27"/>
      <c r="E150" s="46"/>
      <c r="F150" s="46"/>
    </row>
    <row r="151" spans="1:6" hidden="1" x14ac:dyDescent="0.35"/>
    <row r="152" spans="1:6" hidden="1" x14ac:dyDescent="0.35"/>
    <row r="153" spans="1:6" hidden="1" x14ac:dyDescent="0.35"/>
    <row r="154" spans="1:6" hidden="1" x14ac:dyDescent="0.35"/>
    <row r="155" spans="1:6" ht="12.75" hidden="1" customHeight="1" x14ac:dyDescent="0.35"/>
    <row r="156" spans="1:6" hidden="1" x14ac:dyDescent="0.35"/>
    <row r="157" spans="1:6" hidden="1" x14ac:dyDescent="0.35"/>
    <row r="158" spans="1:6" hidden="1" x14ac:dyDescent="0.35">
      <c r="A158" s="55"/>
      <c r="B158" s="46"/>
      <c r="C158" s="46"/>
      <c r="D158" s="46"/>
      <c r="E158" s="46"/>
      <c r="F158" s="46"/>
    </row>
    <row r="159" spans="1:6" hidden="1" x14ac:dyDescent="0.35">
      <c r="A159" s="55"/>
      <c r="B159" s="46"/>
      <c r="C159" s="46"/>
      <c r="D159" s="46"/>
      <c r="E159" s="46"/>
      <c r="F159" s="46"/>
    </row>
    <row r="160" spans="1:6" hidden="1" x14ac:dyDescent="0.35">
      <c r="A160" s="55"/>
      <c r="B160" s="46"/>
      <c r="C160" s="46"/>
      <c r="D160" s="46"/>
      <c r="E160" s="46"/>
      <c r="F160" s="46"/>
    </row>
    <row r="161" spans="1:6" hidden="1" x14ac:dyDescent="0.35">
      <c r="A161" s="55"/>
      <c r="B161" s="46"/>
      <c r="C161" s="46"/>
      <c r="D161" s="46"/>
      <c r="E161" s="46"/>
      <c r="F161" s="46"/>
    </row>
    <row r="162" spans="1:6" hidden="1" x14ac:dyDescent="0.35">
      <c r="A162" s="55"/>
      <c r="B162" s="46"/>
      <c r="C162" s="46"/>
      <c r="D162" s="46"/>
      <c r="E162" s="46"/>
      <c r="F162" s="46"/>
    </row>
    <row r="163" spans="1:6" hidden="1" x14ac:dyDescent="0.35"/>
    <row r="164" spans="1:6" hidden="1" x14ac:dyDescent="0.35"/>
    <row r="165" spans="1:6" hidden="1" x14ac:dyDescent="0.35"/>
    <row r="166" spans="1:6" hidden="1" x14ac:dyDescent="0.35"/>
    <row r="167" spans="1:6" hidden="1" x14ac:dyDescent="0.35"/>
    <row r="168" spans="1:6" hidden="1" x14ac:dyDescent="0.35"/>
    <row r="169" spans="1:6" hidden="1" x14ac:dyDescent="0.35"/>
    <row r="170" spans="1:6" hidden="1" x14ac:dyDescent="0.35"/>
  </sheetData>
  <sheetProtection sheet="1" formatCells="0" formatRows="0" insertColumns="0" insertRows="0" deleteRows="0"/>
  <mergeCells count="15">
    <mergeCell ref="B7:E7"/>
    <mergeCell ref="B5:E5"/>
    <mergeCell ref="D137:E137"/>
    <mergeCell ref="A1:E1"/>
    <mergeCell ref="A24:E24"/>
    <mergeCell ref="A114:E114"/>
    <mergeCell ref="B2:E2"/>
    <mergeCell ref="B3:E3"/>
    <mergeCell ref="B4:E4"/>
    <mergeCell ref="A8:E8"/>
    <mergeCell ref="A9:E9"/>
    <mergeCell ref="B6:E6"/>
    <mergeCell ref="D22:E22"/>
    <mergeCell ref="D112:E11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10:A111 A12 A21 A116 A13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5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05 A16 A13 A15 A17 A18 A19 A20 A27:A103 A104 A106 A107 A108 A109 A117:A128 A129 A130 A131 A132 A133 A134 A13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B26:B111 B116:B136 B12:B21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sqref="A1:E1"/>
    </sheetView>
  </sheetViews>
  <sheetFormatPr defaultColWidth="0" defaultRowHeight="12.75" zeroHeight="1" x14ac:dyDescent="0.35"/>
  <cols>
    <col min="1" max="1" width="35.73046875" style="16" customWidth="1"/>
    <col min="2" max="2" width="14.265625" style="16" customWidth="1"/>
    <col min="3" max="3" width="71.46484375" style="16" customWidth="1"/>
    <col min="4" max="4" width="50" style="16" customWidth="1"/>
    <col min="5" max="5" width="21.46484375" style="16" customWidth="1"/>
    <col min="6" max="6" width="39.265625" style="16" customWidth="1"/>
    <col min="7" max="10" width="9.19921875" style="16" hidden="1" customWidth="1"/>
    <col min="11" max="13" width="0" style="16" hidden="1" customWidth="1"/>
    <col min="14" max="16384" width="0" style="16" hidden="1"/>
  </cols>
  <sheetData>
    <row r="1" spans="1:6" ht="26.25" customHeight="1" x14ac:dyDescent="0.35">
      <c r="A1" s="148" t="s">
        <v>60</v>
      </c>
      <c r="B1" s="148"/>
      <c r="C1" s="148"/>
      <c r="D1" s="148"/>
      <c r="E1" s="148"/>
      <c r="F1" s="38"/>
    </row>
    <row r="2" spans="1:6" ht="21" customHeight="1" x14ac:dyDescent="0.35">
      <c r="A2" s="4" t="s">
        <v>3</v>
      </c>
      <c r="B2" s="151" t="str">
        <f>'Summary and sign-off'!B2:F2</f>
        <v>Ministry for Pacific Peoples</v>
      </c>
      <c r="C2" s="151"/>
      <c r="D2" s="151"/>
      <c r="E2" s="151"/>
      <c r="F2" s="38"/>
    </row>
    <row r="3" spans="1:6" ht="21" customHeight="1" x14ac:dyDescent="0.35">
      <c r="A3" s="4" t="s">
        <v>61</v>
      </c>
      <c r="B3" s="151" t="str">
        <f>'Summary and sign-off'!B3:F3</f>
        <v>Laulu Mac Leauanae</v>
      </c>
      <c r="C3" s="151"/>
      <c r="D3" s="151"/>
      <c r="E3" s="151"/>
      <c r="F3" s="38"/>
    </row>
    <row r="4" spans="1:6" ht="21" customHeight="1" x14ac:dyDescent="0.35">
      <c r="A4" s="4" t="s">
        <v>62</v>
      </c>
      <c r="B4" s="151">
        <f>'Summary and sign-off'!B4:F4</f>
        <v>43647</v>
      </c>
      <c r="C4" s="151"/>
      <c r="D4" s="151"/>
      <c r="E4" s="151"/>
      <c r="F4" s="38"/>
    </row>
    <row r="5" spans="1:6" ht="21" customHeight="1" x14ac:dyDescent="0.35">
      <c r="A5" s="4" t="s">
        <v>63</v>
      </c>
      <c r="B5" s="151">
        <f>'Summary and sign-off'!B5:F5</f>
        <v>44012</v>
      </c>
      <c r="C5" s="151"/>
      <c r="D5" s="151"/>
      <c r="E5" s="151"/>
      <c r="F5" s="38"/>
    </row>
    <row r="6" spans="1:6" ht="21" customHeight="1" x14ac:dyDescent="0.35">
      <c r="A6" s="4" t="s">
        <v>64</v>
      </c>
      <c r="B6" s="146" t="s">
        <v>31</v>
      </c>
      <c r="C6" s="146"/>
      <c r="D6" s="146"/>
      <c r="E6" s="146"/>
      <c r="F6" s="38"/>
    </row>
    <row r="7" spans="1:6" ht="21" customHeight="1" x14ac:dyDescent="0.35">
      <c r="A7" s="4" t="s">
        <v>7</v>
      </c>
      <c r="B7" s="146" t="s">
        <v>34</v>
      </c>
      <c r="C7" s="146"/>
      <c r="D7" s="146"/>
      <c r="E7" s="146"/>
      <c r="F7" s="38"/>
    </row>
    <row r="8" spans="1:6" ht="35.25" customHeight="1" x14ac:dyDescent="0.4">
      <c r="A8" s="161" t="s">
        <v>88</v>
      </c>
      <c r="B8" s="161"/>
      <c r="C8" s="162"/>
      <c r="D8" s="162"/>
      <c r="E8" s="162"/>
      <c r="F8" s="42"/>
    </row>
    <row r="9" spans="1:6" ht="35.25" customHeight="1" x14ac:dyDescent="0.4">
      <c r="A9" s="159" t="s">
        <v>89</v>
      </c>
      <c r="B9" s="160"/>
      <c r="C9" s="160"/>
      <c r="D9" s="160"/>
      <c r="E9" s="160"/>
      <c r="F9" s="42"/>
    </row>
    <row r="10" spans="1:6" ht="27" customHeight="1" x14ac:dyDescent="0.35">
      <c r="A10" s="35" t="s">
        <v>90</v>
      </c>
      <c r="B10" s="35" t="s">
        <v>13</v>
      </c>
      <c r="C10" s="35" t="s">
        <v>91</v>
      </c>
      <c r="D10" s="35" t="s">
        <v>92</v>
      </c>
      <c r="E10" s="35" t="s">
        <v>72</v>
      </c>
      <c r="F10" s="23"/>
    </row>
    <row r="11" spans="1:6" s="68" customFormat="1" hidden="1" x14ac:dyDescent="0.35">
      <c r="A11" s="115"/>
      <c r="B11" s="112"/>
      <c r="C11" s="116"/>
      <c r="D11" s="116"/>
      <c r="E11" s="117"/>
      <c r="F11" s="2"/>
    </row>
    <row r="12" spans="1:6" s="68" customFormat="1" x14ac:dyDescent="0.35">
      <c r="A12" s="133"/>
      <c r="B12" s="134"/>
      <c r="C12" s="138"/>
      <c r="D12" s="138"/>
      <c r="E12" s="139"/>
      <c r="F12" s="2"/>
    </row>
    <row r="13" spans="1:6" s="68" customFormat="1" ht="13.15" x14ac:dyDescent="0.4">
      <c r="A13" s="168">
        <v>43671</v>
      </c>
      <c r="B13" s="134">
        <v>626.75</v>
      </c>
      <c r="C13" s="135" t="s">
        <v>125</v>
      </c>
      <c r="D13" s="135" t="s">
        <v>126</v>
      </c>
      <c r="E13" s="136" t="s">
        <v>127</v>
      </c>
      <c r="F13" s="171" t="s">
        <v>128</v>
      </c>
    </row>
    <row r="14" spans="1:6" s="68" customFormat="1" ht="13.15" x14ac:dyDescent="0.4">
      <c r="A14" s="168">
        <v>43704</v>
      </c>
      <c r="B14" s="134">
        <v>48.3</v>
      </c>
      <c r="C14" s="135" t="s">
        <v>129</v>
      </c>
      <c r="D14" s="135" t="s">
        <v>130</v>
      </c>
      <c r="E14" s="136" t="s">
        <v>131</v>
      </c>
      <c r="F14" s="171" t="s">
        <v>132</v>
      </c>
    </row>
    <row r="15" spans="1:6" s="68" customFormat="1" ht="13.15" x14ac:dyDescent="0.4">
      <c r="A15" s="168">
        <v>43776</v>
      </c>
      <c r="B15" s="134">
        <v>53.3</v>
      </c>
      <c r="C15" s="135" t="s">
        <v>133</v>
      </c>
      <c r="D15" s="135" t="s">
        <v>134</v>
      </c>
      <c r="E15" s="136" t="s">
        <v>127</v>
      </c>
      <c r="F15" s="171" t="s">
        <v>135</v>
      </c>
    </row>
    <row r="16" spans="1:6" s="68" customFormat="1" ht="13.15" x14ac:dyDescent="0.4">
      <c r="A16" s="168">
        <v>43860</v>
      </c>
      <c r="B16" s="134">
        <v>9.5</v>
      </c>
      <c r="C16" s="135" t="s">
        <v>136</v>
      </c>
      <c r="D16" s="135" t="s">
        <v>137</v>
      </c>
      <c r="E16" s="136" t="s">
        <v>127</v>
      </c>
      <c r="F16" s="171" t="s">
        <v>138</v>
      </c>
    </row>
    <row r="17" spans="1:6" s="68" customFormat="1" ht="13.15" x14ac:dyDescent="0.4">
      <c r="A17" s="168">
        <v>43860</v>
      </c>
      <c r="B17" s="134">
        <v>45</v>
      </c>
      <c r="C17" s="135" t="s">
        <v>139</v>
      </c>
      <c r="D17" s="135" t="s">
        <v>140</v>
      </c>
      <c r="E17" s="136" t="s">
        <v>127</v>
      </c>
      <c r="F17" s="171" t="s">
        <v>141</v>
      </c>
    </row>
    <row r="18" spans="1:6" s="68" customFormat="1" ht="13.15" x14ac:dyDescent="0.4">
      <c r="A18" s="168">
        <v>43861</v>
      </c>
      <c r="B18" s="134">
        <v>85</v>
      </c>
      <c r="C18" s="135" t="s">
        <v>139</v>
      </c>
      <c r="D18" s="169" t="s">
        <v>134</v>
      </c>
      <c r="E18" s="136" t="s">
        <v>127</v>
      </c>
      <c r="F18" s="171" t="s">
        <v>141</v>
      </c>
    </row>
    <row r="19" spans="1:6" s="68" customFormat="1" ht="26.25" x14ac:dyDescent="0.4">
      <c r="A19" s="168">
        <v>43904</v>
      </c>
      <c r="B19" s="134">
        <v>42.5</v>
      </c>
      <c r="C19" s="135" t="s">
        <v>142</v>
      </c>
      <c r="D19" s="135" t="s">
        <v>143</v>
      </c>
      <c r="E19" s="136" t="s">
        <v>131</v>
      </c>
      <c r="F19" s="171" t="s">
        <v>144</v>
      </c>
    </row>
    <row r="20" spans="1:6" s="68" customFormat="1" ht="13.15" x14ac:dyDescent="0.4">
      <c r="A20" s="168">
        <v>43997</v>
      </c>
      <c r="B20" s="134">
        <v>20</v>
      </c>
      <c r="C20" s="135" t="s">
        <v>136</v>
      </c>
      <c r="D20" s="135" t="s">
        <v>137</v>
      </c>
      <c r="E20" s="136" t="s">
        <v>127</v>
      </c>
      <c r="F20" s="171" t="s">
        <v>145</v>
      </c>
    </row>
    <row r="21" spans="1:6" s="68" customFormat="1" ht="13.15" x14ac:dyDescent="0.4">
      <c r="A21" s="168">
        <v>44002</v>
      </c>
      <c r="B21" s="134">
        <v>40</v>
      </c>
      <c r="C21" s="135" t="s">
        <v>142</v>
      </c>
      <c r="D21" s="135" t="s">
        <v>143</v>
      </c>
      <c r="E21" s="136" t="s">
        <v>131</v>
      </c>
      <c r="F21" s="171" t="s">
        <v>145</v>
      </c>
    </row>
    <row r="22" spans="1:6" s="68" customFormat="1" x14ac:dyDescent="0.35">
      <c r="A22" s="137"/>
      <c r="B22" s="134"/>
      <c r="C22" s="138"/>
      <c r="D22" s="138"/>
      <c r="E22" s="139"/>
      <c r="F22" s="2"/>
    </row>
    <row r="23" spans="1:6" s="68" customFormat="1" x14ac:dyDescent="0.35">
      <c r="A23" s="137"/>
      <c r="B23" s="134"/>
      <c r="C23" s="138"/>
      <c r="D23" s="138"/>
      <c r="E23" s="139"/>
      <c r="F23" s="2"/>
    </row>
    <row r="24" spans="1:6" s="68" customFormat="1" ht="11.25" hidden="1" customHeight="1" x14ac:dyDescent="0.35">
      <c r="A24" s="115"/>
      <c r="B24" s="112"/>
      <c r="C24" s="116"/>
      <c r="D24" s="116"/>
      <c r="E24" s="117"/>
      <c r="F24" s="2"/>
    </row>
    <row r="25" spans="1:6" ht="34.5" customHeight="1" x14ac:dyDescent="0.35">
      <c r="A25" s="69" t="s">
        <v>93</v>
      </c>
      <c r="B25" s="78">
        <f>SUM(B11:B24)</f>
        <v>970.34999999999991</v>
      </c>
      <c r="C25" s="85" t="str">
        <f>IF(SUBTOTAL(3,B11:B24)=SUBTOTAL(103,B11:B24),'Summary and sign-off'!$A$48,'Summary and sign-off'!$A$49)</f>
        <v>Check - there are no hidden rows with data</v>
      </c>
      <c r="D25" s="152" t="str">
        <f>IF('Summary and sign-off'!F58='Summary and sign-off'!F54,'Summary and sign-off'!A51,'Summary and sign-off'!A50)</f>
        <v>Check - each entry provides sufficient information</v>
      </c>
      <c r="E25" s="152"/>
      <c r="F25" s="2"/>
    </row>
    <row r="26" spans="1:6" ht="13.15" x14ac:dyDescent="0.4">
      <c r="A26" s="21"/>
      <c r="B26" s="20"/>
      <c r="C26" s="20"/>
      <c r="D26" s="20"/>
      <c r="E26" s="20"/>
      <c r="F26" s="38"/>
    </row>
    <row r="27" spans="1:6" ht="13.15" x14ac:dyDescent="0.4">
      <c r="A27" s="21" t="s">
        <v>24</v>
      </c>
      <c r="B27" s="22"/>
      <c r="C27" s="27"/>
      <c r="D27" s="20"/>
      <c r="E27" s="20"/>
      <c r="F27" s="38"/>
    </row>
    <row r="28" spans="1:6" ht="12.75" customHeight="1" x14ac:dyDescent="0.35">
      <c r="A28" s="23" t="s">
        <v>94</v>
      </c>
      <c r="B28" s="23"/>
      <c r="C28" s="23"/>
      <c r="D28" s="23"/>
      <c r="E28" s="23"/>
      <c r="F28" s="38"/>
    </row>
    <row r="29" spans="1:6" x14ac:dyDescent="0.35">
      <c r="A29" s="23" t="s">
        <v>95</v>
      </c>
      <c r="B29" s="31"/>
      <c r="C29" s="43"/>
      <c r="D29" s="44"/>
      <c r="E29" s="44"/>
      <c r="F29" s="38"/>
    </row>
    <row r="30" spans="1:6" ht="13.15" x14ac:dyDescent="0.4">
      <c r="A30" s="23" t="s">
        <v>30</v>
      </c>
      <c r="B30" s="25"/>
      <c r="C30" s="26"/>
      <c r="D30" s="26"/>
      <c r="E30" s="26"/>
      <c r="F30" s="27"/>
    </row>
    <row r="31" spans="1:6" x14ac:dyDescent="0.35">
      <c r="A31" s="31" t="s">
        <v>96</v>
      </c>
      <c r="B31" s="31"/>
      <c r="C31" s="43"/>
      <c r="D31" s="43"/>
      <c r="E31" s="43"/>
      <c r="F31" s="38"/>
    </row>
    <row r="32" spans="1:6" ht="12.75" customHeight="1" x14ac:dyDescent="0.35">
      <c r="A32" s="31" t="s">
        <v>97</v>
      </c>
      <c r="B32" s="31"/>
      <c r="C32" s="45"/>
      <c r="D32" s="45"/>
      <c r="E32" s="33"/>
      <c r="F32" s="38"/>
    </row>
    <row r="33" spans="1:6" x14ac:dyDescent="0.35">
      <c r="A33" s="20"/>
      <c r="B33" s="20"/>
      <c r="C33" s="20"/>
      <c r="D33" s="20"/>
      <c r="E33" s="20"/>
      <c r="F33" s="38"/>
    </row>
    <row r="34" spans="1:6" hidden="1" x14ac:dyDescent="0.35"/>
    <row r="35" spans="1:6" hidden="1" x14ac:dyDescent="0.35"/>
    <row r="36" spans="1:6" hidden="1" x14ac:dyDescent="0.35"/>
    <row r="37" spans="1:6" hidden="1" x14ac:dyDescent="0.35"/>
    <row r="38" spans="1:6" hidden="1" x14ac:dyDescent="0.35"/>
    <row r="39" spans="1:6" hidden="1" x14ac:dyDescent="0.35"/>
    <row r="40" spans="1:6" hidden="1" x14ac:dyDescent="0.35"/>
    <row r="41" spans="1:6" hidden="1" x14ac:dyDescent="0.35"/>
    <row r="42" spans="1:6" hidden="1" x14ac:dyDescent="0.35"/>
    <row r="43" spans="1:6" hidden="1" x14ac:dyDescent="0.35"/>
    <row r="44" spans="1:6" hidden="1" x14ac:dyDescent="0.35"/>
    <row r="45" spans="1:6" hidden="1" x14ac:dyDescent="0.35"/>
    <row r="46" spans="1:6" hidden="1" x14ac:dyDescent="0.35"/>
    <row r="47" spans="1:6" hidden="1" x14ac:dyDescent="0.35"/>
    <row r="48" spans="1:6" hidden="1" x14ac:dyDescent="0.35"/>
    <row r="49" hidden="1" x14ac:dyDescent="0.35"/>
    <row r="50" hidden="1" x14ac:dyDescent="0.35"/>
    <row r="51" hidden="1" x14ac:dyDescent="0.35"/>
    <row r="52" hidden="1" x14ac:dyDescent="0.3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sqref="A1:E1"/>
    </sheetView>
  </sheetViews>
  <sheetFormatPr defaultColWidth="0" defaultRowHeight="12.75" zeroHeight="1" x14ac:dyDescent="0.35"/>
  <cols>
    <col min="1" max="1" width="35.73046875" style="16" customWidth="1"/>
    <col min="2" max="2" width="14.265625" style="16" customWidth="1"/>
    <col min="3" max="3" width="71.46484375" style="16" customWidth="1"/>
    <col min="4" max="4" width="50" style="16" customWidth="1"/>
    <col min="5" max="5" width="21.46484375" style="16" customWidth="1"/>
    <col min="6" max="6" width="36.796875" style="16" customWidth="1"/>
    <col min="7" max="10" width="9.19921875" style="16" hidden="1" customWidth="1"/>
    <col min="11" max="13" width="0" style="16" hidden="1" customWidth="1"/>
    <col min="14" max="16384" width="9.19921875" style="16" hidden="1"/>
  </cols>
  <sheetData>
    <row r="1" spans="1:6" ht="26.25" customHeight="1" x14ac:dyDescent="0.35">
      <c r="A1" s="148" t="s">
        <v>60</v>
      </c>
      <c r="B1" s="148"/>
      <c r="C1" s="148"/>
      <c r="D1" s="148"/>
      <c r="E1" s="148"/>
      <c r="F1" s="24"/>
    </row>
    <row r="2" spans="1:6" ht="21" customHeight="1" x14ac:dyDescent="0.35">
      <c r="A2" s="4" t="s">
        <v>3</v>
      </c>
      <c r="B2" s="151" t="str">
        <f>'Summary and sign-off'!B2:F2</f>
        <v>Ministry for Pacific Peoples</v>
      </c>
      <c r="C2" s="151"/>
      <c r="D2" s="151"/>
      <c r="E2" s="151"/>
      <c r="F2" s="24"/>
    </row>
    <row r="3" spans="1:6" ht="21" customHeight="1" x14ac:dyDescent="0.35">
      <c r="A3" s="4" t="s">
        <v>61</v>
      </c>
      <c r="B3" s="151" t="str">
        <f>'Summary and sign-off'!B3:F3</f>
        <v>Laulu Mac Leauanae</v>
      </c>
      <c r="C3" s="151"/>
      <c r="D3" s="151"/>
      <c r="E3" s="151"/>
      <c r="F3" s="24"/>
    </row>
    <row r="4" spans="1:6" ht="21" customHeight="1" x14ac:dyDescent="0.35">
      <c r="A4" s="4" t="s">
        <v>62</v>
      </c>
      <c r="B4" s="151">
        <f>'Summary and sign-off'!B4:F4</f>
        <v>43647</v>
      </c>
      <c r="C4" s="151"/>
      <c r="D4" s="151"/>
      <c r="E4" s="151"/>
      <c r="F4" s="24"/>
    </row>
    <row r="5" spans="1:6" ht="21" customHeight="1" x14ac:dyDescent="0.35">
      <c r="A5" s="4" t="s">
        <v>63</v>
      </c>
      <c r="B5" s="151">
        <f>'Summary and sign-off'!B5:F5</f>
        <v>44012</v>
      </c>
      <c r="C5" s="151"/>
      <c r="D5" s="151"/>
      <c r="E5" s="151"/>
      <c r="F5" s="24"/>
    </row>
    <row r="6" spans="1:6" ht="21" customHeight="1" x14ac:dyDescent="0.35">
      <c r="A6" s="4" t="s">
        <v>64</v>
      </c>
      <c r="B6" s="146" t="s">
        <v>31</v>
      </c>
      <c r="C6" s="146"/>
      <c r="D6" s="146"/>
      <c r="E6" s="146"/>
      <c r="F6" s="34"/>
    </row>
    <row r="7" spans="1:6" ht="21" customHeight="1" x14ac:dyDescent="0.35">
      <c r="A7" s="4" t="s">
        <v>7</v>
      </c>
      <c r="B7" s="146" t="s">
        <v>34</v>
      </c>
      <c r="C7" s="146"/>
      <c r="D7" s="146"/>
      <c r="E7" s="146"/>
      <c r="F7" s="34"/>
    </row>
    <row r="8" spans="1:6" ht="35.25" customHeight="1" x14ac:dyDescent="0.35">
      <c r="A8" s="155" t="s">
        <v>98</v>
      </c>
      <c r="B8" s="155"/>
      <c r="C8" s="162"/>
      <c r="D8" s="162"/>
      <c r="E8" s="162"/>
      <c r="F8" s="24"/>
    </row>
    <row r="9" spans="1:6" ht="35.25" customHeight="1" x14ac:dyDescent="0.35">
      <c r="A9" s="163" t="s">
        <v>99</v>
      </c>
      <c r="B9" s="164"/>
      <c r="C9" s="164"/>
      <c r="D9" s="164"/>
      <c r="E9" s="164"/>
      <c r="F9" s="24"/>
    </row>
    <row r="10" spans="1:6" ht="27" customHeight="1" x14ac:dyDescent="0.35">
      <c r="A10" s="35" t="s">
        <v>68</v>
      </c>
      <c r="B10" s="35" t="s">
        <v>13</v>
      </c>
      <c r="C10" s="35" t="s">
        <v>100</v>
      </c>
      <c r="D10" s="35" t="s">
        <v>101</v>
      </c>
      <c r="E10" s="35" t="s">
        <v>72</v>
      </c>
      <c r="F10" s="36"/>
    </row>
    <row r="11" spans="1:6" s="68" customFormat="1" hidden="1" x14ac:dyDescent="0.35">
      <c r="A11" s="115"/>
      <c r="B11" s="112"/>
      <c r="C11" s="116"/>
      <c r="D11" s="116"/>
      <c r="E11" s="117"/>
      <c r="F11" s="3"/>
    </row>
    <row r="12" spans="1:6" s="68" customFormat="1" x14ac:dyDescent="0.35">
      <c r="A12" s="133"/>
      <c r="B12" s="134"/>
      <c r="C12" s="138"/>
      <c r="D12" s="138"/>
      <c r="E12" s="139"/>
      <c r="F12" s="3"/>
    </row>
    <row r="13" spans="1:6" s="68" customFormat="1" x14ac:dyDescent="0.35">
      <c r="A13" s="168">
        <v>43708</v>
      </c>
      <c r="B13" s="134">
        <v>6</v>
      </c>
      <c r="C13" s="169" t="s">
        <v>124</v>
      </c>
      <c r="D13" s="169" t="s">
        <v>124</v>
      </c>
      <c r="E13" s="170"/>
    </row>
    <row r="14" spans="1:6" s="68" customFormat="1" x14ac:dyDescent="0.35">
      <c r="A14" s="168">
        <v>43738</v>
      </c>
      <c r="B14" s="134">
        <v>20.289999999999996</v>
      </c>
      <c r="C14" s="169" t="s">
        <v>124</v>
      </c>
      <c r="D14" s="169" t="s">
        <v>124</v>
      </c>
      <c r="E14" s="170"/>
    </row>
    <row r="15" spans="1:6" s="68" customFormat="1" x14ac:dyDescent="0.35">
      <c r="A15" s="168">
        <v>43769</v>
      </c>
      <c r="B15" s="134">
        <v>23.3</v>
      </c>
      <c r="C15" s="169" t="s">
        <v>124</v>
      </c>
      <c r="D15" s="169" t="s">
        <v>124</v>
      </c>
      <c r="E15" s="170"/>
    </row>
    <row r="16" spans="1:6" s="68" customFormat="1" x14ac:dyDescent="0.35">
      <c r="A16" s="168">
        <v>43799</v>
      </c>
      <c r="B16" s="134">
        <v>20.3</v>
      </c>
      <c r="C16" s="169" t="s">
        <v>124</v>
      </c>
      <c r="D16" s="169" t="s">
        <v>124</v>
      </c>
      <c r="E16" s="170"/>
    </row>
    <row r="17" spans="1:6" s="68" customFormat="1" x14ac:dyDescent="0.35">
      <c r="A17" s="168">
        <v>43830</v>
      </c>
      <c r="B17" s="134">
        <v>18.8</v>
      </c>
      <c r="C17" s="169" t="s">
        <v>124</v>
      </c>
      <c r="D17" s="169" t="s">
        <v>124</v>
      </c>
      <c r="E17" s="170"/>
    </row>
    <row r="18" spans="1:6" s="68" customFormat="1" x14ac:dyDescent="0.35">
      <c r="A18" s="168">
        <v>43861</v>
      </c>
      <c r="B18" s="134">
        <v>19.2</v>
      </c>
      <c r="C18" s="169" t="s">
        <v>124</v>
      </c>
      <c r="D18" s="169" t="s">
        <v>124</v>
      </c>
      <c r="E18" s="170"/>
    </row>
    <row r="19" spans="1:6" s="68" customFormat="1" x14ac:dyDescent="0.35">
      <c r="A19" s="168">
        <v>43890</v>
      </c>
      <c r="B19" s="134">
        <v>18.802499999999998</v>
      </c>
      <c r="C19" s="169" t="s">
        <v>124</v>
      </c>
      <c r="D19" s="169" t="s">
        <v>124</v>
      </c>
      <c r="E19" s="170"/>
    </row>
    <row r="20" spans="1:6" s="68" customFormat="1" x14ac:dyDescent="0.35">
      <c r="A20" s="168">
        <v>43921</v>
      </c>
      <c r="B20" s="134">
        <v>23.89</v>
      </c>
      <c r="C20" s="169" t="s">
        <v>124</v>
      </c>
      <c r="D20" s="169" t="s">
        <v>124</v>
      </c>
      <c r="E20" s="170"/>
    </row>
    <row r="21" spans="1:6" s="68" customFormat="1" x14ac:dyDescent="0.35">
      <c r="A21" s="168">
        <v>43951</v>
      </c>
      <c r="B21" s="134">
        <v>19.802999999999997</v>
      </c>
      <c r="C21" s="169" t="s">
        <v>124</v>
      </c>
      <c r="D21" s="169" t="s">
        <v>124</v>
      </c>
      <c r="E21" s="170"/>
    </row>
    <row r="22" spans="1:6" s="68" customFormat="1" x14ac:dyDescent="0.35">
      <c r="A22" s="168">
        <v>43982</v>
      </c>
      <c r="B22" s="134">
        <v>19.297000000000001</v>
      </c>
      <c r="C22" s="169" t="s">
        <v>124</v>
      </c>
      <c r="D22" s="169" t="s">
        <v>124</v>
      </c>
      <c r="E22" s="170"/>
    </row>
    <row r="23" spans="1:6" s="68" customFormat="1" x14ac:dyDescent="0.35">
      <c r="A23" s="168">
        <v>44012</v>
      </c>
      <c r="B23" s="134">
        <v>21.297999999999998</v>
      </c>
      <c r="C23" s="169" t="s">
        <v>124</v>
      </c>
      <c r="D23" s="169" t="s">
        <v>124</v>
      </c>
      <c r="E23" s="170"/>
    </row>
    <row r="24" spans="1:6" s="68" customFormat="1" hidden="1" x14ac:dyDescent="0.35">
      <c r="A24" s="115"/>
      <c r="B24" s="112"/>
      <c r="C24" s="116"/>
      <c r="D24" s="116"/>
      <c r="E24" s="117"/>
      <c r="F24" s="3"/>
    </row>
    <row r="25" spans="1:6" ht="34.5" customHeight="1" x14ac:dyDescent="0.35">
      <c r="A25" s="69" t="s">
        <v>102</v>
      </c>
      <c r="B25" s="78">
        <f>SUM(B11:B24)</f>
        <v>210.98049999999998</v>
      </c>
      <c r="C25" s="85" t="str">
        <f>IF(SUBTOTAL(3,B11:B24)=SUBTOTAL(103,B11:B24),'Summary and sign-off'!$A$48,'Summary and sign-off'!$A$49)</f>
        <v>Check - there are no hidden rows with data</v>
      </c>
      <c r="D25" s="152" t="str">
        <f>IF('Summary and sign-off'!F59='Summary and sign-off'!F54,'Summary and sign-off'!A51,'Summary and sign-off'!A50)</f>
        <v>Check - each entry provides sufficient information</v>
      </c>
      <c r="E25" s="152"/>
      <c r="F25" s="37"/>
    </row>
    <row r="26" spans="1:6" ht="14.2" customHeight="1" x14ac:dyDescent="0.35">
      <c r="A26" s="38"/>
      <c r="B26" s="27"/>
      <c r="C26" s="20"/>
      <c r="D26" s="20"/>
      <c r="E26" s="20"/>
      <c r="F26" s="24"/>
    </row>
    <row r="27" spans="1:6" ht="13.15" x14ac:dyDescent="0.4">
      <c r="A27" s="21" t="s">
        <v>103</v>
      </c>
      <c r="B27" s="20"/>
      <c r="C27" s="20"/>
      <c r="D27" s="20"/>
      <c r="E27" s="20"/>
      <c r="F27" s="24"/>
    </row>
    <row r="28" spans="1:6" ht="12.7" customHeight="1" x14ac:dyDescent="0.35">
      <c r="A28" s="23" t="s">
        <v>82</v>
      </c>
      <c r="B28" s="20"/>
      <c r="C28" s="20"/>
      <c r="D28" s="20"/>
      <c r="E28" s="20"/>
      <c r="F28" s="24"/>
    </row>
    <row r="29" spans="1:6" ht="13.15" x14ac:dyDescent="0.4">
      <c r="A29" s="23" t="s">
        <v>30</v>
      </c>
      <c r="B29" s="25"/>
      <c r="C29" s="26"/>
      <c r="D29" s="26"/>
      <c r="E29" s="26"/>
      <c r="F29" s="27"/>
    </row>
    <row r="30" spans="1:6" x14ac:dyDescent="0.35">
      <c r="A30" s="31" t="s">
        <v>96</v>
      </c>
      <c r="B30" s="32"/>
      <c r="C30" s="27"/>
      <c r="D30" s="27"/>
      <c r="E30" s="27"/>
      <c r="F30" s="27"/>
    </row>
    <row r="31" spans="1:6" ht="12.75" customHeight="1" x14ac:dyDescent="0.35">
      <c r="A31" s="31" t="s">
        <v>97</v>
      </c>
      <c r="B31" s="39"/>
      <c r="C31" s="33"/>
      <c r="D31" s="33"/>
      <c r="E31" s="33"/>
      <c r="F31" s="33"/>
    </row>
    <row r="32" spans="1:6" x14ac:dyDescent="0.35">
      <c r="A32" s="38"/>
      <c r="B32" s="40"/>
      <c r="C32" s="20"/>
      <c r="D32" s="20"/>
      <c r="E32" s="20"/>
      <c r="F32" s="38"/>
    </row>
    <row r="33" spans="1:6" hidden="1" x14ac:dyDescent="0.35">
      <c r="A33" s="20"/>
      <c r="B33" s="20"/>
      <c r="C33" s="20"/>
      <c r="D33" s="20"/>
      <c r="E33" s="38"/>
    </row>
    <row r="34" spans="1:6" ht="12.75" hidden="1" customHeight="1" x14ac:dyDescent="0.35"/>
    <row r="35" spans="1:6" hidden="1" x14ac:dyDescent="0.35">
      <c r="A35" s="41"/>
      <c r="B35" s="41"/>
      <c r="C35" s="41"/>
      <c r="D35" s="41"/>
      <c r="E35" s="41"/>
      <c r="F35" s="24"/>
    </row>
    <row r="36" spans="1:6" hidden="1" x14ac:dyDescent="0.35">
      <c r="A36" s="41"/>
      <c r="B36" s="41"/>
      <c r="C36" s="41"/>
      <c r="D36" s="41"/>
      <c r="E36" s="41"/>
      <c r="F36" s="24"/>
    </row>
    <row r="37" spans="1:6" hidden="1" x14ac:dyDescent="0.35">
      <c r="A37" s="41"/>
      <c r="B37" s="41"/>
      <c r="C37" s="41"/>
      <c r="D37" s="41"/>
      <c r="E37" s="41"/>
      <c r="F37" s="24"/>
    </row>
    <row r="38" spans="1:6" hidden="1" x14ac:dyDescent="0.35">
      <c r="A38" s="41"/>
      <c r="B38" s="41"/>
      <c r="C38" s="41"/>
      <c r="D38" s="41"/>
      <c r="E38" s="41"/>
      <c r="F38" s="24"/>
    </row>
    <row r="39" spans="1:6" hidden="1" x14ac:dyDescent="0.35">
      <c r="A39" s="41"/>
      <c r="B39" s="41"/>
      <c r="C39" s="41"/>
      <c r="D39" s="41"/>
      <c r="E39" s="41"/>
      <c r="F39" s="24"/>
    </row>
    <row r="40" spans="1:6" hidden="1" x14ac:dyDescent="0.35"/>
    <row r="41" spans="1:6" hidden="1" x14ac:dyDescent="0.35"/>
    <row r="42" spans="1:6" hidden="1" x14ac:dyDescent="0.35"/>
    <row r="43" spans="1:6" hidden="1" x14ac:dyDescent="0.35"/>
    <row r="44" spans="1:6" hidden="1" x14ac:dyDescent="0.35"/>
    <row r="45" spans="1:6" hidden="1" x14ac:dyDescent="0.35"/>
    <row r="46" spans="1:6" hidden="1" x14ac:dyDescent="0.35"/>
    <row r="47" spans="1:6" hidden="1" x14ac:dyDescent="0.35"/>
    <row r="48" spans="1:6" hidden="1" x14ac:dyDescent="0.35"/>
    <row r="49" hidden="1" x14ac:dyDescent="0.35"/>
    <row r="50" hidden="1" x14ac:dyDescent="0.35"/>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topLeftCell="A10" zoomScaleNormal="100" workbookViewId="0">
      <selection sqref="A1:F1"/>
    </sheetView>
  </sheetViews>
  <sheetFormatPr defaultColWidth="0" defaultRowHeight="12.75" zeroHeight="1" x14ac:dyDescent="0.35"/>
  <cols>
    <col min="1" max="1" width="35.73046875" style="16" customWidth="1"/>
    <col min="2" max="2" width="46.796875" style="16" customWidth="1"/>
    <col min="3" max="3" width="22.19921875" style="16" customWidth="1"/>
    <col min="4" max="4" width="25.46484375" style="16" customWidth="1"/>
    <col min="5" max="6" width="35.73046875" style="16" customWidth="1"/>
    <col min="7" max="7" width="38" style="16" customWidth="1"/>
    <col min="8" max="10" width="9.19921875" style="16" hidden="1" customWidth="1"/>
    <col min="11" max="15" width="0" style="16" hidden="1" customWidth="1"/>
    <col min="16" max="16384" width="0" style="16" hidden="1"/>
  </cols>
  <sheetData>
    <row r="1" spans="1:6" ht="26.25" customHeight="1" x14ac:dyDescent="0.35">
      <c r="A1" s="148" t="s">
        <v>104</v>
      </c>
      <c r="B1" s="148"/>
      <c r="C1" s="148"/>
      <c r="D1" s="148"/>
      <c r="E1" s="148"/>
      <c r="F1" s="148"/>
    </row>
    <row r="2" spans="1:6" ht="21" customHeight="1" x14ac:dyDescent="0.35">
      <c r="A2" s="4" t="s">
        <v>3</v>
      </c>
      <c r="B2" s="151" t="str">
        <f>'Summary and sign-off'!B2:F2</f>
        <v>Ministry for Pacific Peoples</v>
      </c>
      <c r="C2" s="151"/>
      <c r="D2" s="151"/>
      <c r="E2" s="151"/>
      <c r="F2" s="151"/>
    </row>
    <row r="3" spans="1:6" ht="21" customHeight="1" x14ac:dyDescent="0.35">
      <c r="A3" s="4" t="s">
        <v>61</v>
      </c>
      <c r="B3" s="151" t="str">
        <f>'Summary and sign-off'!B3:F3</f>
        <v>Laulu Mac Leauanae</v>
      </c>
      <c r="C3" s="151"/>
      <c r="D3" s="151"/>
      <c r="E3" s="151"/>
      <c r="F3" s="151"/>
    </row>
    <row r="4" spans="1:6" ht="21" customHeight="1" x14ac:dyDescent="0.35">
      <c r="A4" s="4" t="s">
        <v>62</v>
      </c>
      <c r="B4" s="151">
        <f>'Summary and sign-off'!B4:F4</f>
        <v>43647</v>
      </c>
      <c r="C4" s="151"/>
      <c r="D4" s="151"/>
      <c r="E4" s="151"/>
      <c r="F4" s="151"/>
    </row>
    <row r="5" spans="1:6" ht="21" customHeight="1" x14ac:dyDescent="0.35">
      <c r="A5" s="4" t="s">
        <v>63</v>
      </c>
      <c r="B5" s="151">
        <f>'Summary and sign-off'!B5:F5</f>
        <v>44012</v>
      </c>
      <c r="C5" s="151"/>
      <c r="D5" s="151"/>
      <c r="E5" s="151"/>
      <c r="F5" s="151"/>
    </row>
    <row r="6" spans="1:6" ht="21" customHeight="1" x14ac:dyDescent="0.35">
      <c r="A6" s="4" t="s">
        <v>105</v>
      </c>
      <c r="B6" s="146" t="s">
        <v>31</v>
      </c>
      <c r="C6" s="146"/>
      <c r="D6" s="146"/>
      <c r="E6" s="146"/>
      <c r="F6" s="146"/>
    </row>
    <row r="7" spans="1:6" ht="21" customHeight="1" x14ac:dyDescent="0.35">
      <c r="A7" s="4" t="s">
        <v>7</v>
      </c>
      <c r="B7" s="146" t="s">
        <v>34</v>
      </c>
      <c r="C7" s="146"/>
      <c r="D7" s="146"/>
      <c r="E7" s="146"/>
      <c r="F7" s="146"/>
    </row>
    <row r="8" spans="1:6" ht="36" customHeight="1" x14ac:dyDescent="0.35">
      <c r="A8" s="155" t="s">
        <v>106</v>
      </c>
      <c r="B8" s="155"/>
      <c r="C8" s="155"/>
      <c r="D8" s="155"/>
      <c r="E8" s="155"/>
      <c r="F8" s="155"/>
    </row>
    <row r="9" spans="1:6" ht="36" customHeight="1" x14ac:dyDescent="0.35">
      <c r="A9" s="163" t="s">
        <v>107</v>
      </c>
      <c r="B9" s="164"/>
      <c r="C9" s="164"/>
      <c r="D9" s="164"/>
      <c r="E9" s="164"/>
      <c r="F9" s="164"/>
    </row>
    <row r="10" spans="1:6" ht="39" customHeight="1" x14ac:dyDescent="0.35">
      <c r="A10" s="35" t="s">
        <v>68</v>
      </c>
      <c r="B10" s="128" t="s">
        <v>108</v>
      </c>
      <c r="C10" s="128" t="s">
        <v>109</v>
      </c>
      <c r="D10" s="128" t="s">
        <v>110</v>
      </c>
      <c r="E10" s="128" t="s">
        <v>111</v>
      </c>
      <c r="F10" s="128" t="s">
        <v>112</v>
      </c>
    </row>
    <row r="11" spans="1:6" s="68" customFormat="1" hidden="1" x14ac:dyDescent="0.35">
      <c r="A11" s="111"/>
      <c r="B11" s="116"/>
      <c r="C11" s="118"/>
      <c r="D11" s="116"/>
      <c r="E11" s="119"/>
      <c r="F11" s="117"/>
    </row>
    <row r="12" spans="1:6" s="68" customFormat="1" x14ac:dyDescent="0.35">
      <c r="A12" s="133"/>
      <c r="B12" s="140"/>
      <c r="C12" s="141"/>
      <c r="D12" s="140"/>
      <c r="E12" s="142"/>
      <c r="F12" s="143"/>
    </row>
    <row r="13" spans="1:6" s="68" customFormat="1" x14ac:dyDescent="0.35">
      <c r="A13" s="133" t="s">
        <v>120</v>
      </c>
      <c r="B13" s="165" t="s">
        <v>121</v>
      </c>
      <c r="C13" s="166" t="s">
        <v>48</v>
      </c>
      <c r="D13" s="165" t="s">
        <v>120</v>
      </c>
      <c r="E13" s="142" t="s">
        <v>42</v>
      </c>
      <c r="F13" s="167"/>
    </row>
    <row r="14" spans="1:6" s="68" customFormat="1" x14ac:dyDescent="0.35">
      <c r="A14" s="133" t="s">
        <v>120</v>
      </c>
      <c r="B14" s="165" t="s">
        <v>122</v>
      </c>
      <c r="C14" s="166" t="s">
        <v>47</v>
      </c>
      <c r="D14" s="165" t="s">
        <v>123</v>
      </c>
      <c r="E14" s="142" t="s">
        <v>42</v>
      </c>
      <c r="F14" s="167"/>
    </row>
    <row r="15" spans="1:6" s="68" customFormat="1" x14ac:dyDescent="0.35">
      <c r="A15" s="133"/>
      <c r="B15" s="140"/>
      <c r="C15" s="141"/>
      <c r="D15" s="140"/>
      <c r="E15" s="142"/>
      <c r="F15" s="143"/>
    </row>
    <row r="16" spans="1:6" s="68" customFormat="1" x14ac:dyDescent="0.35">
      <c r="A16" s="133"/>
      <c r="B16" s="140"/>
      <c r="C16" s="141"/>
      <c r="D16" s="140"/>
      <c r="E16" s="142"/>
      <c r="F16" s="143"/>
    </row>
    <row r="17" spans="1:7" s="68" customFormat="1" x14ac:dyDescent="0.35">
      <c r="A17" s="133"/>
      <c r="B17" s="140"/>
      <c r="C17" s="141"/>
      <c r="D17" s="140"/>
      <c r="E17" s="142"/>
      <c r="F17" s="143"/>
    </row>
    <row r="18" spans="1:7" s="68" customFormat="1" x14ac:dyDescent="0.35">
      <c r="A18" s="133"/>
      <c r="B18" s="140"/>
      <c r="C18" s="141"/>
      <c r="D18" s="140"/>
      <c r="E18" s="142"/>
      <c r="F18" s="143"/>
    </row>
    <row r="19" spans="1:7" s="68" customFormat="1" x14ac:dyDescent="0.35">
      <c r="A19" s="133"/>
      <c r="B19" s="140"/>
      <c r="C19" s="141"/>
      <c r="D19" s="140"/>
      <c r="E19" s="142"/>
      <c r="F19" s="143"/>
    </row>
    <row r="20" spans="1:7" s="68" customFormat="1" x14ac:dyDescent="0.35">
      <c r="A20" s="133"/>
      <c r="B20" s="140"/>
      <c r="C20" s="141"/>
      <c r="D20" s="140"/>
      <c r="E20" s="142"/>
      <c r="F20" s="143"/>
    </row>
    <row r="21" spans="1:7" s="68" customFormat="1" x14ac:dyDescent="0.35">
      <c r="A21" s="133"/>
      <c r="B21" s="140"/>
      <c r="C21" s="141"/>
      <c r="D21" s="140"/>
      <c r="E21" s="142"/>
      <c r="F21" s="143"/>
    </row>
    <row r="22" spans="1:7" s="68" customFormat="1" x14ac:dyDescent="0.35">
      <c r="A22" s="133"/>
      <c r="B22" s="140"/>
      <c r="C22" s="141"/>
      <c r="D22" s="140"/>
      <c r="E22" s="142"/>
      <c r="F22" s="143"/>
    </row>
    <row r="23" spans="1:7" s="68" customFormat="1" x14ac:dyDescent="0.35">
      <c r="A23" s="133"/>
      <c r="B23" s="140"/>
      <c r="C23" s="141"/>
      <c r="D23" s="140"/>
      <c r="E23" s="142"/>
      <c r="F23" s="143"/>
    </row>
    <row r="24" spans="1:7" s="68" customFormat="1" hidden="1" x14ac:dyDescent="0.35">
      <c r="A24" s="111"/>
      <c r="B24" s="116"/>
      <c r="C24" s="118"/>
      <c r="D24" s="116"/>
      <c r="E24" s="119"/>
      <c r="F24" s="117"/>
    </row>
    <row r="25" spans="1:7" ht="34.5" customHeight="1" x14ac:dyDescent="0.35">
      <c r="A25" s="129" t="s">
        <v>113</v>
      </c>
      <c r="B25" s="130" t="s">
        <v>114</v>
      </c>
      <c r="C25" s="131">
        <f>C26+C27</f>
        <v>2</v>
      </c>
      <c r="D25" s="132" t="str">
        <f>IF(SUBTOTAL(3,C11:C24)=SUBTOTAL(103,C11:C24),'Summary and sign-off'!$A$48,'Summary and sign-off'!$A$49)</f>
        <v>Check - there are no hidden rows with data</v>
      </c>
      <c r="E25" s="152" t="str">
        <f>IF('Summary and sign-off'!F60='Summary and sign-off'!F54,'Summary and sign-off'!A52,'Summary and sign-off'!A50)</f>
        <v>Check - each entry provides sufficient information</v>
      </c>
      <c r="F25" s="152"/>
      <c r="G25" s="68"/>
    </row>
    <row r="26" spans="1:7" ht="25.5" customHeight="1" x14ac:dyDescent="0.4">
      <c r="A26" s="70"/>
      <c r="B26" s="71" t="s">
        <v>47</v>
      </c>
      <c r="C26" s="72">
        <f>COUNTIF(C11:C24,'Summary and sign-off'!A45)</f>
        <v>1</v>
      </c>
      <c r="D26" s="17"/>
      <c r="E26" s="18"/>
      <c r="F26" s="19"/>
    </row>
    <row r="27" spans="1:7" ht="25.5" customHeight="1" x14ac:dyDescent="0.4">
      <c r="A27" s="70"/>
      <c r="B27" s="71" t="s">
        <v>48</v>
      </c>
      <c r="C27" s="72">
        <f>COUNTIF(C11:C24,'Summary and sign-off'!A46)</f>
        <v>1</v>
      </c>
      <c r="D27" s="17"/>
      <c r="E27" s="18"/>
      <c r="F27" s="19"/>
    </row>
    <row r="28" spans="1:7" ht="13.15" x14ac:dyDescent="0.4">
      <c r="A28" s="20"/>
      <c r="B28" s="21"/>
      <c r="C28" s="20"/>
      <c r="D28" s="22"/>
      <c r="E28" s="22"/>
      <c r="F28" s="20"/>
    </row>
    <row r="29" spans="1:7" ht="13.15" x14ac:dyDescent="0.4">
      <c r="A29" s="21" t="s">
        <v>103</v>
      </c>
      <c r="B29" s="21"/>
      <c r="C29" s="21"/>
      <c r="D29" s="21"/>
      <c r="E29" s="21"/>
      <c r="F29" s="21"/>
    </row>
    <row r="30" spans="1:7" ht="12.7" customHeight="1" x14ac:dyDescent="0.35">
      <c r="A30" s="23" t="s">
        <v>82</v>
      </c>
      <c r="B30" s="20"/>
      <c r="C30" s="20"/>
      <c r="D30" s="20"/>
      <c r="E30" s="20"/>
      <c r="F30" s="24"/>
    </row>
    <row r="31" spans="1:7" ht="13.15" x14ac:dyDescent="0.4">
      <c r="A31" s="23" t="s">
        <v>30</v>
      </c>
      <c r="B31" s="25"/>
      <c r="C31" s="26"/>
      <c r="D31" s="26"/>
      <c r="E31" s="26"/>
      <c r="F31" s="27"/>
    </row>
    <row r="32" spans="1:7" ht="13.15" x14ac:dyDescent="0.4">
      <c r="A32" s="23" t="s">
        <v>115</v>
      </c>
      <c r="B32" s="28"/>
      <c r="C32" s="28"/>
      <c r="D32" s="28"/>
      <c r="E32" s="28"/>
      <c r="F32" s="28"/>
    </row>
    <row r="33" spans="1:6" ht="12.75" customHeight="1" x14ac:dyDescent="0.35">
      <c r="A33" s="23" t="s">
        <v>116</v>
      </c>
      <c r="B33" s="20"/>
      <c r="C33" s="20"/>
      <c r="D33" s="20"/>
      <c r="E33" s="20"/>
      <c r="F33" s="20"/>
    </row>
    <row r="34" spans="1:6" ht="13.05" customHeight="1" x14ac:dyDescent="0.35">
      <c r="A34" s="29" t="s">
        <v>117</v>
      </c>
      <c r="B34" s="30"/>
      <c r="C34" s="30"/>
      <c r="D34" s="30"/>
      <c r="E34" s="30"/>
      <c r="F34" s="30"/>
    </row>
    <row r="35" spans="1:6" x14ac:dyDescent="0.35">
      <c r="A35" s="31" t="s">
        <v>118</v>
      </c>
      <c r="B35" s="32"/>
      <c r="C35" s="27"/>
      <c r="D35" s="27"/>
      <c r="E35" s="27"/>
      <c r="F35" s="27"/>
    </row>
    <row r="36" spans="1:6" ht="12.75" customHeight="1" x14ac:dyDescent="0.35">
      <c r="A36" s="31" t="s">
        <v>97</v>
      </c>
      <c r="B36" s="23"/>
      <c r="C36" s="33"/>
      <c r="D36" s="33"/>
      <c r="E36" s="33"/>
      <c r="F36" s="33"/>
    </row>
    <row r="37" spans="1:6" ht="12.75" customHeight="1" x14ac:dyDescent="0.35">
      <c r="A37" s="23"/>
      <c r="B37" s="23"/>
      <c r="C37" s="33"/>
      <c r="D37" s="33"/>
      <c r="E37" s="33"/>
      <c r="F37" s="33"/>
    </row>
    <row r="38" spans="1:6" ht="12.75" hidden="1" customHeight="1" x14ac:dyDescent="0.35">
      <c r="A38" s="23"/>
      <c r="B38" s="23"/>
      <c r="C38" s="33"/>
      <c r="D38" s="33"/>
      <c r="E38" s="33"/>
      <c r="F38" s="33"/>
    </row>
    <row r="39" spans="1:6" hidden="1" x14ac:dyDescent="0.35"/>
    <row r="40" spans="1:6" hidden="1" x14ac:dyDescent="0.35"/>
    <row r="41" spans="1:6" ht="13.15" hidden="1" x14ac:dyDescent="0.4">
      <c r="A41" s="21"/>
      <c r="B41" s="21"/>
      <c r="C41" s="21"/>
      <c r="D41" s="21"/>
      <c r="E41" s="21"/>
      <c r="F41" s="21"/>
    </row>
    <row r="42" spans="1:6" ht="13.15" hidden="1" x14ac:dyDescent="0.4">
      <c r="A42" s="21"/>
      <c r="B42" s="21"/>
      <c r="C42" s="21"/>
      <c r="D42" s="21"/>
      <c r="E42" s="21"/>
      <c r="F42" s="21"/>
    </row>
    <row r="43" spans="1:6" ht="13.15" hidden="1" x14ac:dyDescent="0.4">
      <c r="A43" s="21"/>
      <c r="B43" s="21"/>
      <c r="C43" s="21"/>
      <c r="D43" s="21"/>
      <c r="E43" s="21"/>
      <c r="F43" s="21"/>
    </row>
    <row r="44" spans="1:6" ht="13.15" hidden="1" x14ac:dyDescent="0.4">
      <c r="A44" s="21"/>
      <c r="B44" s="21"/>
      <c r="C44" s="21"/>
      <c r="D44" s="21"/>
      <c r="E44" s="21"/>
      <c r="F44" s="21"/>
    </row>
    <row r="45" spans="1:6" ht="13.15" hidden="1" x14ac:dyDescent="0.4">
      <c r="A45" s="21"/>
      <c r="B45" s="21"/>
      <c r="C45" s="21"/>
      <c r="D45" s="21"/>
      <c r="E45" s="21"/>
      <c r="F45" s="21"/>
    </row>
    <row r="46" spans="1:6" hidden="1" x14ac:dyDescent="0.35"/>
    <row r="47" spans="1:6" hidden="1" x14ac:dyDescent="0.35"/>
    <row r="48" spans="1:6"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Andrew Nijsse</cp:lastModifiedBy>
  <cp:revision/>
  <dcterms:created xsi:type="dcterms:W3CDTF">2010-10-17T20:59:02Z</dcterms:created>
  <dcterms:modified xsi:type="dcterms:W3CDTF">2020-07-28T22:36:41Z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